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NDOWS\Dwight_Mengel\1 DSS\1 SCMP\2020 SCMP\"/>
    </mc:Choice>
  </mc:AlternateContent>
  <xr:revisionPtr revIDLastSave="0" documentId="13_ncr:1_{880BF5DC-EB4D-46EA-A074-6B0A6C420B83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Sheet1!$C$1:$I$19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" l="1"/>
  <c r="H14" i="1"/>
  <c r="F14" i="1"/>
  <c r="F9" i="1"/>
  <c r="F8" i="1"/>
  <c r="H13" i="1" l="1"/>
  <c r="H12" i="1"/>
  <c r="I7" i="1"/>
  <c r="H7" i="1"/>
  <c r="H6" i="1"/>
  <c r="I6" i="1" s="1"/>
  <c r="F13" i="1" l="1"/>
  <c r="F12" i="1"/>
  <c r="F10" i="1"/>
  <c r="F7" i="1"/>
  <c r="F6" i="1"/>
  <c r="F5" i="1"/>
  <c r="F11" i="1"/>
  <c r="G10" i="1"/>
  <c r="G18" i="1" l="1"/>
  <c r="I13" i="1"/>
  <c r="H10" i="1"/>
  <c r="I10" i="1" s="1"/>
  <c r="G14" i="1"/>
  <c r="H5" i="1"/>
  <c r="I5" i="1" s="1"/>
  <c r="F30" i="1" l="1"/>
  <c r="G29" i="1" l="1"/>
  <c r="F36" i="1"/>
  <c r="H35" i="1"/>
  <c r="I35" i="1" s="1"/>
  <c r="H28" i="1"/>
  <c r="I28" i="1" s="1"/>
  <c r="G28" i="1"/>
  <c r="G36" i="1" s="1"/>
  <c r="I63" i="1"/>
  <c r="I88" i="1"/>
  <c r="I98" i="1"/>
  <c r="I127" i="1"/>
  <c r="H33" i="1"/>
  <c r="I33" i="1" s="1"/>
  <c r="F34" i="1"/>
  <c r="G40" i="1"/>
  <c r="I100" i="1" l="1"/>
  <c r="H36" i="1"/>
  <c r="G41" i="1"/>
  <c r="G61" i="1"/>
  <c r="J61" i="1" s="1"/>
  <c r="J60" i="1"/>
  <c r="H58" i="1"/>
  <c r="J58" i="1" s="1"/>
  <c r="G58" i="1"/>
  <c r="F57" i="1"/>
  <c r="H57" i="1" s="1"/>
  <c r="J57" i="1" s="1"/>
  <c r="G67" i="1" l="1"/>
  <c r="G59" i="1"/>
  <c r="H59" i="1"/>
  <c r="H63" i="1" s="1"/>
  <c r="M57" i="1"/>
  <c r="L57" i="1"/>
  <c r="J59" i="1" l="1"/>
  <c r="J63" i="1" s="1"/>
  <c r="G63" i="1"/>
  <c r="G68" i="1" s="1"/>
  <c r="F63" i="1"/>
  <c r="G90" i="1"/>
  <c r="G98" i="1"/>
  <c r="H84" i="1" l="1"/>
  <c r="G84" i="1"/>
  <c r="J86" i="1"/>
  <c r="F86" i="1" s="1"/>
  <c r="F83" i="1"/>
  <c r="R83" i="1"/>
  <c r="S83" i="1" s="1"/>
  <c r="J97" i="1"/>
  <c r="R82" i="1"/>
  <c r="T82" i="1" s="1"/>
  <c r="F97" i="1" l="1"/>
  <c r="J98" i="1"/>
  <c r="T83" i="1"/>
  <c r="S82" i="1"/>
  <c r="G8" i="3" l="1"/>
  <c r="G7" i="3"/>
  <c r="G6" i="3"/>
  <c r="G5" i="3"/>
  <c r="G4" i="3"/>
  <c r="G3" i="3"/>
  <c r="F9" i="3"/>
  <c r="E9" i="3"/>
  <c r="G9" i="3" s="1"/>
  <c r="G127" i="1" l="1"/>
  <c r="G131" i="1" s="1"/>
  <c r="J123" i="1"/>
  <c r="F123" i="1" s="1"/>
  <c r="H129" i="1"/>
  <c r="I129" i="1" s="1"/>
  <c r="I131" i="1" s="1"/>
  <c r="J126" i="1" l="1"/>
  <c r="J125" i="1"/>
  <c r="F125" i="1" s="1"/>
  <c r="J124" i="1"/>
  <c r="F124" i="1" s="1"/>
  <c r="H122" i="1"/>
  <c r="H127" i="1" s="1"/>
  <c r="H131" i="1" s="1"/>
  <c r="F122" i="1"/>
  <c r="J122" i="1" l="1"/>
  <c r="J127" i="1" s="1"/>
  <c r="J131" i="1" s="1"/>
  <c r="F127" i="1"/>
  <c r="F131" i="1" s="1"/>
  <c r="G134" i="1"/>
  <c r="G135" i="1" s="1"/>
  <c r="I16" i="2"/>
  <c r="F16" i="2"/>
  <c r="J15" i="2"/>
  <c r="J14" i="2"/>
  <c r="G12" i="2"/>
  <c r="J12" i="2" s="1"/>
  <c r="J11" i="2"/>
  <c r="G10" i="2"/>
  <c r="H9" i="2"/>
  <c r="J8" i="2"/>
  <c r="G8" i="2"/>
  <c r="H96" i="1"/>
  <c r="J85" i="1"/>
  <c r="F85" i="1" s="1"/>
  <c r="F96" i="1" l="1"/>
  <c r="F98" i="1" s="1"/>
  <c r="H98" i="1"/>
  <c r="G16" i="2"/>
  <c r="G20" i="2"/>
  <c r="H10" i="2"/>
  <c r="J10" i="2" s="1"/>
  <c r="J16" i="2" s="1"/>
  <c r="H8" i="2"/>
  <c r="J87" i="1"/>
  <c r="H82" i="1"/>
  <c r="G22" i="2" l="1"/>
  <c r="J82" i="1"/>
  <c r="F82" i="1"/>
  <c r="F88" i="1" s="1"/>
  <c r="F100" i="1" s="1"/>
  <c r="H16" i="2"/>
  <c r="H88" i="1"/>
  <c r="H100" i="1" s="1"/>
  <c r="G88" i="1"/>
  <c r="J84" i="1"/>
  <c r="N97" i="1" l="1"/>
  <c r="G100" i="1"/>
  <c r="N96" i="1"/>
  <c r="N85" i="1"/>
  <c r="J88" i="1"/>
  <c r="J100" i="1" s="1"/>
  <c r="N82" i="1"/>
  <c r="N84" i="1"/>
  <c r="N88" i="1"/>
  <c r="N86" i="1"/>
  <c r="N87" i="1"/>
  <c r="N90" i="1" l="1"/>
  <c r="O97" i="1"/>
  <c r="O88" i="1"/>
  <c r="O82" i="1"/>
  <c r="G93" i="1"/>
  <c r="P97" i="1" s="1"/>
  <c r="O84" i="1"/>
  <c r="G102" i="1" l="1"/>
  <c r="O96" i="1"/>
  <c r="P87" i="1"/>
  <c r="P88" i="1"/>
  <c r="O86" i="1"/>
  <c r="O87" i="1"/>
  <c r="P82" i="1"/>
  <c r="P96" i="1"/>
  <c r="P84" i="1"/>
</calcChain>
</file>

<file path=xl/sharedStrings.xml><?xml version="1.0" encoding="utf-8"?>
<sst xmlns="http://schemas.openxmlformats.org/spreadsheetml/2006/main" count="267" uniqueCount="88">
  <si>
    <t>Applicant</t>
  </si>
  <si>
    <t>Type</t>
  </si>
  <si>
    <t>Project Name</t>
  </si>
  <si>
    <t>Total</t>
  </si>
  <si>
    <t xml:space="preserve">Federal </t>
  </si>
  <si>
    <t>Human Services Coalition</t>
  </si>
  <si>
    <t>FISH Call Center Support</t>
  </si>
  <si>
    <t>Go2Work Taxi Voucher</t>
  </si>
  <si>
    <t>Mobility Management</t>
  </si>
  <si>
    <t>Challenge WorkForce Solutions</t>
  </si>
  <si>
    <t>Expanding Access to Employment and Community for Adults with Disabilities through Travel Training</t>
  </si>
  <si>
    <t>GADABOUT</t>
  </si>
  <si>
    <t>Operating Assistance</t>
  </si>
  <si>
    <t>Ithaca Carshare</t>
  </si>
  <si>
    <t>Easy Access Low Income Carshare Memberships</t>
  </si>
  <si>
    <t>TOTAL</t>
  </si>
  <si>
    <t>Local</t>
  </si>
  <si>
    <t>Proposed Special Community Mobility Projects for 2016</t>
  </si>
  <si>
    <t>Cornell Cooperative Extension/ Get Your Green Back</t>
  </si>
  <si>
    <t>Gaining Insights from Transportation Constrained to Influence Long Term Planning Goals</t>
  </si>
  <si>
    <t>Operating Assistance for 2016</t>
  </si>
  <si>
    <t>FISH Tompkins County</t>
  </si>
  <si>
    <t>Tompkins County DSS/ Women's Opportunity Center</t>
  </si>
  <si>
    <t>FISH Regional Pilot</t>
  </si>
  <si>
    <t xml:space="preserve">Volunteer transportation for regional medical trips </t>
  </si>
  <si>
    <t>Volunteer transportation for medical trips in Tompkins County</t>
  </si>
  <si>
    <t>State Match</t>
  </si>
  <si>
    <t>Total Federal</t>
  </si>
  <si>
    <t>Deficit</t>
  </si>
  <si>
    <t>New</t>
  </si>
  <si>
    <t>Re-allocated</t>
  </si>
  <si>
    <t>FFY 2015 Section 5307</t>
  </si>
  <si>
    <t>FFY 2016 Section 5307</t>
  </si>
  <si>
    <t xml:space="preserve"> Other State </t>
  </si>
  <si>
    <t>FFY 2017 Section 5307</t>
  </si>
  <si>
    <t>Total Federal Obligated</t>
  </si>
  <si>
    <t>SUBTOTAL</t>
  </si>
  <si>
    <t xml:space="preserve">Balance </t>
  </si>
  <si>
    <t>Tompkins County Coordinated Transportation Plan Committee</t>
  </si>
  <si>
    <t>to the Ithaca-Tompkins County Transportation Council</t>
  </si>
  <si>
    <t xml:space="preserve">FISH Tompkins County </t>
  </si>
  <si>
    <t>Volunteer transportation for regional medical trips, outside Tompkins County</t>
  </si>
  <si>
    <t>Recommendations of 2017 Special Community Mobility Projects (SCMP)</t>
  </si>
  <si>
    <t>Federal</t>
  </si>
  <si>
    <t>Total Grant</t>
  </si>
  <si>
    <t>Operating Assistance for 2017</t>
  </si>
  <si>
    <t>Special Community Mobility Projects for 2017, adopted 12/20/2016</t>
  </si>
  <si>
    <t>BikeWalk Tompkins</t>
  </si>
  <si>
    <t>Bikeshare for All</t>
  </si>
  <si>
    <t>Cornell Cooperative Extension/ Way2Go</t>
  </si>
  <si>
    <t xml:space="preserve">Chinese &amp; Spanish Translations of Mobility Information </t>
  </si>
  <si>
    <t xml:space="preserve">Operating Assistance </t>
  </si>
  <si>
    <t>211-FISH Call Center Support</t>
  </si>
  <si>
    <t>FFY 2018 Section 5307</t>
  </si>
  <si>
    <t>FISH Regional Service</t>
  </si>
  <si>
    <t>Late Applications</t>
  </si>
  <si>
    <t>2018 SCMP Proposals considered by Coordinated Plannning Committee</t>
  </si>
  <si>
    <t>On-Time Applications</t>
  </si>
  <si>
    <t xml:space="preserve">GRAND TOTAL </t>
  </si>
  <si>
    <t>Old</t>
  </si>
  <si>
    <t>REVENUES</t>
  </si>
  <si>
    <t>Net Federal 1</t>
  </si>
  <si>
    <t>Net Federal 2</t>
  </si>
  <si>
    <t>211-FISH Call Center Mgmt</t>
  </si>
  <si>
    <t>2019 Ithaca Bike Champions &amp; Travel Training</t>
  </si>
  <si>
    <t>Coordinated Volunteer Driver Recruitment</t>
  </si>
  <si>
    <t>FISH Out-of-County Service</t>
  </si>
  <si>
    <t>FFY 2019 Section 5307</t>
  </si>
  <si>
    <t>Applications</t>
  </si>
  <si>
    <t xml:space="preserve">Net Federal </t>
  </si>
  <si>
    <t>Prior Section 5307</t>
  </si>
  <si>
    <t>2019 SCMP Projects Approved by ITCTC in Coordinated Transportation Plan Amendment of 12/18/18</t>
  </si>
  <si>
    <t>Challenge</t>
  </si>
  <si>
    <t xml:space="preserve">Travel Training </t>
  </si>
  <si>
    <t>ITS Project</t>
  </si>
  <si>
    <t>Capital</t>
  </si>
  <si>
    <t>2020 Ithaca Bike Champions &amp; Travel Training</t>
  </si>
  <si>
    <t>Go Ithaca Low Income Program</t>
  </si>
  <si>
    <t>Center for Community Transportation, Inc.</t>
  </si>
  <si>
    <t xml:space="preserve">Volunteer transportation for medical trips in Tompkins Co. </t>
  </si>
  <si>
    <t>FFY 2020 Section 5307</t>
  </si>
  <si>
    <t>Volunteer Driver Recruitment &amp; Sustainability</t>
  </si>
  <si>
    <t>2020 Proposed SCMP Projects 11/1/19 - Working Budget Before Changes on 11/15/2019</t>
  </si>
  <si>
    <t xml:space="preserve">County paratransit service </t>
  </si>
  <si>
    <t>Expenditures</t>
  </si>
  <si>
    <t>Local Match</t>
  </si>
  <si>
    <t>Applicants</t>
  </si>
  <si>
    <t>2019 Recommended SCMP Projects for 2020, Coordinated Transportation Planning Committee (11/18/2019)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</si>
</sst>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0" fillId="0" borderId="1" xfId="0" applyFill="1" applyBorder="1"/>
    <xf numFmtId="164" fontId="0" fillId="0" borderId="1" xfId="0" applyNumberFormat="1" applyBorder="1"/>
    <xf numFmtId="164" fontId="0" fillId="0" borderId="0" xfId="0" applyNumberFormat="1" applyFill="1" applyBorder="1"/>
    <xf numFmtId="164" fontId="0" fillId="0" borderId="1" xfId="0" applyNumberFormat="1" applyFill="1" applyBorder="1"/>
    <xf numFmtId="9" fontId="0" fillId="0" borderId="0" xfId="2" applyFont="1"/>
    <xf numFmtId="0" fontId="2" fillId="0" borderId="0" xfId="0" applyFont="1"/>
    <xf numFmtId="14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/>
    <xf numFmtId="164" fontId="0" fillId="0" borderId="1" xfId="1" applyNumberFormat="1" applyFont="1" applyFill="1" applyBorder="1"/>
    <xf numFmtId="164" fontId="0" fillId="0" borderId="0" xfId="1" applyNumberFormat="1" applyFont="1"/>
    <xf numFmtId="0" fontId="0" fillId="0" borderId="0" xfId="0" applyBorder="1"/>
    <xf numFmtId="0" fontId="0" fillId="0" borderId="0" xfId="0" applyBorder="1" applyAlignment="1">
      <alignment wrapText="1"/>
    </xf>
    <xf numFmtId="0" fontId="3" fillId="0" borderId="1" xfId="0" applyFont="1" applyFill="1" applyBorder="1"/>
    <xf numFmtId="0" fontId="0" fillId="0" borderId="1" xfId="0" applyFill="1" applyBorder="1" applyAlignment="1">
      <alignment wrapText="1"/>
    </xf>
    <xf numFmtId="0" fontId="2" fillId="0" borderId="0" xfId="0" applyFont="1" applyAlignment="1"/>
    <xf numFmtId="0" fontId="2" fillId="0" borderId="0" xfId="0" applyFont="1" applyAlignment="1"/>
    <xf numFmtId="0" fontId="4" fillId="0" borderId="0" xfId="0" applyFont="1"/>
    <xf numFmtId="164" fontId="0" fillId="2" borderId="1" xfId="1" applyNumberFormat="1" applyFont="1" applyFill="1" applyBorder="1"/>
    <xf numFmtId="164" fontId="0" fillId="2" borderId="1" xfId="0" applyNumberFormat="1" applyFill="1" applyBorder="1"/>
    <xf numFmtId="0" fontId="0" fillId="2" borderId="0" xfId="0" applyFill="1"/>
    <xf numFmtId="164" fontId="0" fillId="0" borderId="0" xfId="0" applyNumberFormat="1" applyBorder="1"/>
    <xf numFmtId="164" fontId="0" fillId="0" borderId="0" xfId="1" applyNumberFormat="1" applyFont="1" applyBorder="1"/>
    <xf numFmtId="0" fontId="5" fillId="0" borderId="0" xfId="0" applyFont="1" applyFill="1" applyBorder="1"/>
    <xf numFmtId="164" fontId="5" fillId="0" borderId="0" xfId="0" applyNumberFormat="1" applyFont="1"/>
    <xf numFmtId="0" fontId="5" fillId="0" borderId="1" xfId="0" applyFont="1" applyBorder="1"/>
    <xf numFmtId="164" fontId="5" fillId="0" borderId="1" xfId="0" applyNumberFormat="1" applyFont="1" applyBorder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164" fontId="5" fillId="0" borderId="1" xfId="1" applyNumberFormat="1" applyFont="1" applyBorder="1"/>
    <xf numFmtId="164" fontId="5" fillId="0" borderId="0" xfId="1" applyNumberFormat="1" applyFont="1"/>
    <xf numFmtId="164" fontId="5" fillId="0" borderId="1" xfId="1" applyNumberFormat="1" applyFont="1" applyFill="1" applyBorder="1"/>
    <xf numFmtId="0" fontId="5" fillId="0" borderId="1" xfId="0" applyFont="1" applyFill="1" applyBorder="1"/>
    <xf numFmtId="164" fontId="5" fillId="0" borderId="1" xfId="0" applyNumberFormat="1" applyFont="1" applyFill="1" applyBorder="1"/>
    <xf numFmtId="164" fontId="5" fillId="0" borderId="0" xfId="0" applyNumberFormat="1" applyFont="1" applyFill="1" applyBorder="1"/>
    <xf numFmtId="0" fontId="6" fillId="0" borderId="0" xfId="0" applyFont="1"/>
    <xf numFmtId="0" fontId="5" fillId="0" borderId="0" xfId="0" applyFont="1" applyBorder="1"/>
    <xf numFmtId="164" fontId="5" fillId="0" borderId="0" xfId="0" applyNumberFormat="1" applyFont="1" applyBorder="1"/>
    <xf numFmtId="0" fontId="6" fillId="0" borderId="1" xfId="0" applyFont="1" applyFill="1" applyBorder="1"/>
    <xf numFmtId="164" fontId="6" fillId="0" borderId="1" xfId="0" applyNumberFormat="1" applyFont="1" applyBorder="1"/>
    <xf numFmtId="0" fontId="6" fillId="0" borderId="1" xfId="0" applyFont="1" applyBorder="1"/>
    <xf numFmtId="0" fontId="6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164" fontId="6" fillId="0" borderId="1" xfId="1" applyNumberFormat="1" applyFont="1" applyBorder="1"/>
    <xf numFmtId="0" fontId="6" fillId="0" borderId="0" xfId="0" applyFont="1" applyFill="1" applyBorder="1"/>
    <xf numFmtId="164" fontId="6" fillId="0" borderId="0" xfId="0" applyNumberFormat="1" applyFont="1" applyBorder="1"/>
    <xf numFmtId="0" fontId="6" fillId="0" borderId="0" xfId="0" applyFont="1" applyBorder="1"/>
    <xf numFmtId="0" fontId="3" fillId="0" borderId="2" xfId="0" applyFont="1" applyBorder="1"/>
    <xf numFmtId="0" fontId="0" fillId="0" borderId="6" xfId="0" applyBorder="1"/>
    <xf numFmtId="0" fontId="0" fillId="0" borderId="7" xfId="0" applyBorder="1"/>
    <xf numFmtId="0" fontId="6" fillId="0" borderId="3" xfId="0" applyFont="1" applyBorder="1"/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8" xfId="0" applyFont="1" applyBorder="1"/>
    <xf numFmtId="0" fontId="0" fillId="0" borderId="3" xfId="0" applyBorder="1"/>
    <xf numFmtId="164" fontId="5" fillId="0" borderId="8" xfId="0" applyNumberFormat="1" applyFont="1" applyFill="1" applyBorder="1"/>
    <xf numFmtId="0" fontId="5" fillId="0" borderId="9" xfId="0" applyFont="1" applyBorder="1"/>
    <xf numFmtId="0" fontId="5" fillId="0" borderId="1" xfId="0" applyFont="1" applyBorder="1" applyAlignment="1">
      <alignment horizontal="left"/>
    </xf>
    <xf numFmtId="164" fontId="5" fillId="2" borderId="1" xfId="1" applyNumberFormat="1" applyFont="1" applyFill="1" applyBorder="1"/>
    <xf numFmtId="164" fontId="6" fillId="2" borderId="1" xfId="0" applyNumberFormat="1" applyFont="1" applyFill="1" applyBorder="1"/>
    <xf numFmtId="0" fontId="5" fillId="2" borderId="0" xfId="0" applyFont="1" applyFill="1" applyBorder="1"/>
    <xf numFmtId="164" fontId="5" fillId="2" borderId="1" xfId="0" applyNumberFormat="1" applyFont="1" applyFill="1" applyBorder="1"/>
    <xf numFmtId="0" fontId="3" fillId="0" borderId="6" xfId="0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146"/>
  <sheetViews>
    <sheetView tabSelected="1" zoomScaleNormal="100" workbookViewId="0">
      <selection activeCell="B1" sqref="B1"/>
    </sheetView>
  </sheetViews>
  <sheetFormatPr defaultRowHeight="15" x14ac:dyDescent="0.25"/>
  <cols>
    <col min="2" max="2" width="4.140625" customWidth="1"/>
    <col min="3" max="3" width="30.140625" customWidth="1"/>
    <col min="4" max="4" width="30.28515625" customWidth="1"/>
    <col min="5" max="5" width="22.42578125" customWidth="1"/>
    <col min="6" max="6" width="16" bestFit="1" customWidth="1"/>
    <col min="7" max="7" width="12.7109375" customWidth="1"/>
    <col min="8" max="8" width="13" customWidth="1"/>
    <col min="9" max="9" width="13.85546875" bestFit="1" customWidth="1"/>
    <col min="10" max="10" width="16" bestFit="1" customWidth="1"/>
    <col min="11" max="13" width="12" customWidth="1"/>
    <col min="15" max="15" width="11.7109375" hidden="1" customWidth="1"/>
    <col min="16" max="16" width="11.28515625" bestFit="1" customWidth="1"/>
  </cols>
  <sheetData>
    <row r="1" spans="3:9" ht="21" x14ac:dyDescent="0.35">
      <c r="C1" s="22" t="s">
        <v>87</v>
      </c>
    </row>
    <row r="2" spans="3:9" x14ac:dyDescent="0.25">
      <c r="H2" s="11"/>
      <c r="I2" s="11"/>
    </row>
    <row r="3" spans="3:9" x14ac:dyDescent="0.25">
      <c r="C3" s="56"/>
      <c r="D3" s="57"/>
      <c r="E3" s="57"/>
      <c r="F3" s="72" t="s">
        <v>84</v>
      </c>
      <c r="G3" s="57"/>
      <c r="H3" s="57"/>
      <c r="I3" s="57"/>
    </row>
    <row r="4" spans="3:9" ht="15.75" x14ac:dyDescent="0.25">
      <c r="C4" s="59" t="s">
        <v>86</v>
      </c>
      <c r="D4" s="55" t="s">
        <v>2</v>
      </c>
      <c r="E4" s="55" t="s">
        <v>1</v>
      </c>
      <c r="F4" s="60" t="s">
        <v>3</v>
      </c>
      <c r="G4" s="60" t="s">
        <v>4</v>
      </c>
      <c r="H4" s="60" t="s">
        <v>26</v>
      </c>
      <c r="I4" s="60" t="s">
        <v>85</v>
      </c>
    </row>
    <row r="5" spans="3:9" ht="15.75" x14ac:dyDescent="0.25">
      <c r="C5" s="30" t="s">
        <v>5</v>
      </c>
      <c r="D5" s="35" t="s">
        <v>63</v>
      </c>
      <c r="E5" s="30" t="s">
        <v>8</v>
      </c>
      <c r="F5" s="36">
        <f>+G5/0.8</f>
        <v>23875</v>
      </c>
      <c r="G5" s="68">
        <v>19100</v>
      </c>
      <c r="H5" s="36">
        <f>+F5*0.1</f>
        <v>2387.5</v>
      </c>
      <c r="I5" s="36">
        <f>+H5</f>
        <v>2387.5</v>
      </c>
    </row>
    <row r="6" spans="3:9" ht="31.5" x14ac:dyDescent="0.25">
      <c r="C6" s="35" t="s">
        <v>78</v>
      </c>
      <c r="D6" s="35" t="s">
        <v>76</v>
      </c>
      <c r="E6" s="28" t="s">
        <v>8</v>
      </c>
      <c r="F6" s="36">
        <f t="shared" ref="F6:F7" si="0">+G6/0.8</f>
        <v>37277.5</v>
      </c>
      <c r="G6" s="68">
        <v>29822</v>
      </c>
      <c r="H6" s="36">
        <f t="shared" ref="H6:H7" si="1">+F6*0.1</f>
        <v>3727.75</v>
      </c>
      <c r="I6" s="36">
        <f t="shared" ref="I6:I7" si="2">+H6</f>
        <v>3727.75</v>
      </c>
    </row>
    <row r="7" spans="3:9" ht="31.5" x14ac:dyDescent="0.25">
      <c r="C7" s="35" t="s">
        <v>49</v>
      </c>
      <c r="D7" s="35" t="s">
        <v>81</v>
      </c>
      <c r="E7" s="30" t="s">
        <v>8</v>
      </c>
      <c r="F7" s="36">
        <f t="shared" si="0"/>
        <v>12111.25</v>
      </c>
      <c r="G7" s="68">
        <v>9689</v>
      </c>
      <c r="H7" s="36">
        <f t="shared" si="1"/>
        <v>1211.125</v>
      </c>
      <c r="I7" s="36">
        <f t="shared" si="2"/>
        <v>1211.125</v>
      </c>
    </row>
    <row r="8" spans="3:9" ht="31.5" x14ac:dyDescent="0.25">
      <c r="C8" s="30" t="s">
        <v>21</v>
      </c>
      <c r="D8" s="35" t="s">
        <v>79</v>
      </c>
      <c r="E8" s="30" t="s">
        <v>12</v>
      </c>
      <c r="F8" s="36">
        <f>+G8+I8</f>
        <v>8900</v>
      </c>
      <c r="G8" s="68">
        <v>4450</v>
      </c>
      <c r="H8" s="36"/>
      <c r="I8" s="36">
        <v>4450</v>
      </c>
    </row>
    <row r="9" spans="3:9" ht="31.5" x14ac:dyDescent="0.25">
      <c r="C9" s="30" t="s">
        <v>66</v>
      </c>
      <c r="D9" s="35" t="s">
        <v>24</v>
      </c>
      <c r="E9" s="30" t="s">
        <v>12</v>
      </c>
      <c r="F9" s="36">
        <f>+G9+I9</f>
        <v>8200</v>
      </c>
      <c r="G9" s="68">
        <v>4100</v>
      </c>
      <c r="H9" s="36"/>
      <c r="I9" s="36">
        <v>4100</v>
      </c>
    </row>
    <row r="10" spans="3:9" ht="15.75" x14ac:dyDescent="0.25">
      <c r="C10" s="30" t="s">
        <v>11</v>
      </c>
      <c r="D10" s="35" t="s">
        <v>74</v>
      </c>
      <c r="E10" s="30" t="s">
        <v>75</v>
      </c>
      <c r="F10" s="36">
        <f>+G10/0.8</f>
        <v>25972.5</v>
      </c>
      <c r="G10" s="68">
        <f>31111-3883-6450</f>
        <v>20778</v>
      </c>
      <c r="H10" s="36">
        <f>+F10*0.1</f>
        <v>2597.25</v>
      </c>
      <c r="I10" s="36">
        <f>+H10</f>
        <v>2597.25</v>
      </c>
    </row>
    <row r="11" spans="3:9" ht="15.75" x14ac:dyDescent="0.25">
      <c r="C11" s="30" t="s">
        <v>11</v>
      </c>
      <c r="D11" s="35" t="s">
        <v>83</v>
      </c>
      <c r="E11" s="30" t="s">
        <v>12</v>
      </c>
      <c r="F11" s="36">
        <f>+G11+H11+I11</f>
        <v>12900</v>
      </c>
      <c r="G11" s="68">
        <v>6450</v>
      </c>
      <c r="H11" s="36"/>
      <c r="I11" s="36">
        <v>6450</v>
      </c>
    </row>
    <row r="12" spans="3:9" ht="15.75" x14ac:dyDescent="0.25">
      <c r="C12" s="30" t="s">
        <v>72</v>
      </c>
      <c r="D12" s="35" t="s">
        <v>73</v>
      </c>
      <c r="E12" s="30" t="s">
        <v>8</v>
      </c>
      <c r="F12" s="36">
        <f>+G12/0.8</f>
        <v>8888.75</v>
      </c>
      <c r="G12" s="68">
        <v>7111</v>
      </c>
      <c r="H12" s="36">
        <f>+F12*0.1</f>
        <v>888.875</v>
      </c>
      <c r="I12" s="36">
        <v>889</v>
      </c>
    </row>
    <row r="13" spans="3:9" ht="31.5" x14ac:dyDescent="0.25">
      <c r="C13" s="35" t="s">
        <v>78</v>
      </c>
      <c r="D13" s="35" t="s">
        <v>77</v>
      </c>
      <c r="E13" s="30" t="s">
        <v>8</v>
      </c>
      <c r="F13" s="36">
        <f>+G13/0.8</f>
        <v>8125</v>
      </c>
      <c r="G13" s="68">
        <v>6500</v>
      </c>
      <c r="H13" s="36">
        <f>+F13*0.1</f>
        <v>812.5</v>
      </c>
      <c r="I13" s="36">
        <f>+H13</f>
        <v>812.5</v>
      </c>
    </row>
    <row r="14" spans="3:9" ht="15.75" x14ac:dyDescent="0.25">
      <c r="C14" s="49"/>
      <c r="D14" s="43"/>
      <c r="E14" s="45" t="s">
        <v>58</v>
      </c>
      <c r="F14" s="46">
        <f>SUM(F5:F13)</f>
        <v>146250</v>
      </c>
      <c r="G14" s="69">
        <f>SUM(G5:G13)</f>
        <v>108000</v>
      </c>
      <c r="H14" s="69">
        <f t="shared" ref="H14:I14" si="3">SUM(H5:H13)</f>
        <v>11625</v>
      </c>
      <c r="I14" s="69">
        <f t="shared" si="3"/>
        <v>26625.125</v>
      </c>
    </row>
    <row r="15" spans="3:9" ht="15.75" x14ac:dyDescent="0.25">
      <c r="C15" s="49"/>
      <c r="D15" s="43"/>
      <c r="E15" s="43"/>
      <c r="F15" s="43"/>
      <c r="G15" s="70"/>
      <c r="H15" s="43"/>
      <c r="I15" s="63"/>
    </row>
    <row r="16" spans="3:9" ht="15.75" x14ac:dyDescent="0.25">
      <c r="C16" s="64"/>
      <c r="D16" s="48" t="s">
        <v>60</v>
      </c>
      <c r="E16" s="30" t="s">
        <v>80</v>
      </c>
      <c r="F16" s="30"/>
      <c r="G16" s="71">
        <v>93000</v>
      </c>
      <c r="H16" s="41"/>
      <c r="I16" s="65"/>
    </row>
    <row r="17" spans="3:10" ht="15.75" x14ac:dyDescent="0.25">
      <c r="C17" s="49"/>
      <c r="D17" s="49"/>
      <c r="E17" s="30" t="s">
        <v>51</v>
      </c>
      <c r="F17" s="67"/>
      <c r="G17" s="71">
        <v>15000</v>
      </c>
      <c r="H17" s="41"/>
      <c r="I17" s="65"/>
    </row>
    <row r="18" spans="3:10" ht="15.75" x14ac:dyDescent="0.25">
      <c r="C18" s="49"/>
      <c r="D18" s="49"/>
      <c r="E18" s="39" t="s">
        <v>27</v>
      </c>
      <c r="F18" s="30"/>
      <c r="G18" s="71">
        <f>+G17+G16</f>
        <v>108000</v>
      </c>
      <c r="H18" s="43"/>
      <c r="I18" s="63"/>
    </row>
    <row r="19" spans="3:10" ht="15.75" x14ac:dyDescent="0.25">
      <c r="C19" s="50"/>
      <c r="D19" s="50"/>
      <c r="E19" s="51"/>
      <c r="F19" s="47"/>
      <c r="G19" s="69"/>
      <c r="H19" s="51"/>
      <c r="I19" s="66"/>
    </row>
    <row r="24" spans="3:10" ht="21" hidden="1" x14ac:dyDescent="0.35">
      <c r="D24" s="22" t="s">
        <v>82</v>
      </c>
      <c r="J24" s="11"/>
    </row>
    <row r="25" spans="3:10" hidden="1" x14ac:dyDescent="0.25">
      <c r="H25" s="11"/>
      <c r="I25" s="11"/>
      <c r="J25" s="11"/>
    </row>
    <row r="26" spans="3:10" hidden="1" x14ac:dyDescent="0.25">
      <c r="C26" s="56" t="s">
        <v>68</v>
      </c>
      <c r="D26" s="57"/>
      <c r="E26" s="57"/>
      <c r="F26" s="57"/>
      <c r="G26" s="57"/>
      <c r="H26" s="57"/>
      <c r="I26" s="57"/>
      <c r="J26" s="58"/>
    </row>
    <row r="27" spans="3:10" ht="15.75" hidden="1" x14ac:dyDescent="0.25">
      <c r="C27" s="59" t="s">
        <v>0</v>
      </c>
      <c r="D27" s="55" t="s">
        <v>2</v>
      </c>
      <c r="E27" s="55" t="s">
        <v>1</v>
      </c>
      <c r="F27" s="60" t="s">
        <v>3</v>
      </c>
      <c r="G27" s="60" t="s">
        <v>4</v>
      </c>
      <c r="H27" s="60" t="s">
        <v>26</v>
      </c>
      <c r="I27" s="60" t="s">
        <v>16</v>
      </c>
      <c r="J27" s="61"/>
    </row>
    <row r="28" spans="3:10" ht="15.75" hidden="1" x14ac:dyDescent="0.25">
      <c r="C28" s="30" t="s">
        <v>5</v>
      </c>
      <c r="D28" s="35" t="s">
        <v>63</v>
      </c>
      <c r="E28" s="30" t="s">
        <v>8</v>
      </c>
      <c r="F28" s="36">
        <v>25773</v>
      </c>
      <c r="G28" s="36">
        <f>+F28*0.8</f>
        <v>20618.400000000001</v>
      </c>
      <c r="H28" s="36">
        <f>+F28*0.1</f>
        <v>2577.3000000000002</v>
      </c>
      <c r="I28" s="36">
        <f>+H28</f>
        <v>2577.3000000000002</v>
      </c>
      <c r="J28" s="36"/>
    </row>
    <row r="29" spans="3:10" ht="31.5" hidden="1" x14ac:dyDescent="0.25">
      <c r="C29" s="35" t="s">
        <v>78</v>
      </c>
      <c r="D29" s="35" t="s">
        <v>76</v>
      </c>
      <c r="E29" s="28" t="s">
        <v>8</v>
      </c>
      <c r="F29" s="36">
        <v>45200</v>
      </c>
      <c r="G29" s="36">
        <f>+F29*0.8</f>
        <v>36160</v>
      </c>
      <c r="H29" s="36">
        <v>4520</v>
      </c>
      <c r="I29" s="36">
        <v>4520</v>
      </c>
      <c r="J29" s="36"/>
    </row>
    <row r="30" spans="3:10" ht="31.5" hidden="1" x14ac:dyDescent="0.25">
      <c r="C30" s="35" t="s">
        <v>49</v>
      </c>
      <c r="D30" s="35" t="s">
        <v>81</v>
      </c>
      <c r="E30" s="30" t="s">
        <v>8</v>
      </c>
      <c r="F30" s="36">
        <f>+G30+H30+I30</f>
        <v>12111</v>
      </c>
      <c r="G30" s="36">
        <v>9689</v>
      </c>
      <c r="H30" s="36">
        <v>1211</v>
      </c>
      <c r="I30" s="36">
        <v>1211</v>
      </c>
      <c r="J30" s="36"/>
    </row>
    <row r="31" spans="3:10" ht="31.5" hidden="1" x14ac:dyDescent="0.25">
      <c r="C31" s="30" t="s">
        <v>21</v>
      </c>
      <c r="D31" s="35" t="s">
        <v>79</v>
      </c>
      <c r="E31" s="30" t="s">
        <v>12</v>
      </c>
      <c r="F31" s="36">
        <v>7419</v>
      </c>
      <c r="G31" s="36">
        <v>4450</v>
      </c>
      <c r="H31" s="36"/>
      <c r="I31" s="36">
        <v>4450</v>
      </c>
      <c r="J31" s="36"/>
    </row>
    <row r="32" spans="3:10" ht="31.5" hidden="1" x14ac:dyDescent="0.25">
      <c r="C32" s="30" t="s">
        <v>66</v>
      </c>
      <c r="D32" s="35" t="s">
        <v>24</v>
      </c>
      <c r="E32" s="30" t="s">
        <v>12</v>
      </c>
      <c r="F32" s="36">
        <v>10094</v>
      </c>
      <c r="G32" s="36">
        <v>4100</v>
      </c>
      <c r="H32" s="36"/>
      <c r="I32" s="36">
        <v>4100</v>
      </c>
      <c r="J32" s="36"/>
    </row>
    <row r="33" spans="3:10" ht="15.75" hidden="1" x14ac:dyDescent="0.25">
      <c r="C33" s="30" t="s">
        <v>11</v>
      </c>
      <c r="D33" s="35" t="s">
        <v>74</v>
      </c>
      <c r="E33" s="30" t="s">
        <v>75</v>
      </c>
      <c r="F33" s="36">
        <v>38889</v>
      </c>
      <c r="G33" s="36">
        <v>31111</v>
      </c>
      <c r="H33" s="36">
        <f>+F33*0.1</f>
        <v>3888.9</v>
      </c>
      <c r="I33" s="36">
        <f>+H33</f>
        <v>3888.9</v>
      </c>
      <c r="J33" s="36"/>
    </row>
    <row r="34" spans="3:10" ht="15.75" hidden="1" x14ac:dyDescent="0.25">
      <c r="C34" s="30" t="s">
        <v>72</v>
      </c>
      <c r="D34" s="35" t="s">
        <v>73</v>
      </c>
      <c r="E34" s="30" t="s">
        <v>8</v>
      </c>
      <c r="F34" s="36">
        <f>SUM(G34:J34)</f>
        <v>8889</v>
      </c>
      <c r="G34" s="36">
        <v>7111</v>
      </c>
      <c r="H34" s="36">
        <v>889</v>
      </c>
      <c r="I34" s="36">
        <v>889</v>
      </c>
      <c r="J34" s="36"/>
    </row>
    <row r="35" spans="3:10" ht="31.5" hidden="1" x14ac:dyDescent="0.25">
      <c r="C35" s="35" t="s">
        <v>78</v>
      </c>
      <c r="D35" s="35" t="s">
        <v>77</v>
      </c>
      <c r="E35" s="30" t="s">
        <v>8</v>
      </c>
      <c r="F35" s="36">
        <v>16667</v>
      </c>
      <c r="G35" s="36">
        <v>13334</v>
      </c>
      <c r="H35" s="36">
        <f>+F35*0.1</f>
        <v>1666.7</v>
      </c>
      <c r="I35" s="36">
        <f>+H35</f>
        <v>1666.7</v>
      </c>
      <c r="J35" s="36"/>
    </row>
    <row r="36" spans="3:10" ht="15.75" hidden="1" x14ac:dyDescent="0.25">
      <c r="C36" s="49"/>
      <c r="D36" s="43"/>
      <c r="E36" s="45" t="s">
        <v>58</v>
      </c>
      <c r="F36" s="46">
        <f>SUM(F28:F33)</f>
        <v>139486</v>
      </c>
      <c r="G36" s="46">
        <f>SUM(G28:G35)</f>
        <v>126573.4</v>
      </c>
      <c r="H36" s="46">
        <f>SUM(H28:H33)</f>
        <v>12197.199999999999</v>
      </c>
      <c r="I36" s="52">
        <v>15104.225</v>
      </c>
      <c r="J36" s="46"/>
    </row>
    <row r="37" spans="3:10" ht="15.75" hidden="1" x14ac:dyDescent="0.25">
      <c r="C37" s="49"/>
      <c r="D37" s="43"/>
      <c r="E37" s="43"/>
      <c r="F37" s="43"/>
      <c r="G37" s="43"/>
      <c r="H37" s="43"/>
      <c r="I37" s="43"/>
      <c r="J37" s="63"/>
    </row>
    <row r="38" spans="3:10" ht="15.75" hidden="1" x14ac:dyDescent="0.25">
      <c r="C38" s="64"/>
      <c r="D38" s="48" t="s">
        <v>60</v>
      </c>
      <c r="E38" s="30" t="s">
        <v>80</v>
      </c>
      <c r="F38" s="30" t="s">
        <v>29</v>
      </c>
      <c r="G38" s="40">
        <v>93000</v>
      </c>
      <c r="H38" s="41"/>
      <c r="I38" s="41"/>
      <c r="J38" s="65"/>
    </row>
    <row r="39" spans="3:10" ht="15.75" hidden="1" x14ac:dyDescent="0.25">
      <c r="C39" s="49"/>
      <c r="D39" s="49"/>
      <c r="E39" s="30" t="s">
        <v>51</v>
      </c>
      <c r="F39" s="67" t="s">
        <v>59</v>
      </c>
      <c r="G39" s="40">
        <v>15000</v>
      </c>
      <c r="H39" s="41"/>
      <c r="I39" s="41"/>
      <c r="J39" s="65"/>
    </row>
    <row r="40" spans="3:10" ht="15.75" hidden="1" x14ac:dyDescent="0.25">
      <c r="C40" s="49"/>
      <c r="D40" s="49"/>
      <c r="E40" s="39" t="s">
        <v>27</v>
      </c>
      <c r="F40" s="30"/>
      <c r="G40" s="31">
        <f>+G39+G38</f>
        <v>108000</v>
      </c>
      <c r="H40" s="43"/>
      <c r="I40" s="43"/>
      <c r="J40" s="63"/>
    </row>
    <row r="41" spans="3:10" ht="15.75" hidden="1" x14ac:dyDescent="0.25">
      <c r="C41" s="50"/>
      <c r="D41" s="50"/>
      <c r="E41" s="51"/>
      <c r="F41" s="47" t="s">
        <v>69</v>
      </c>
      <c r="G41" s="46">
        <f>+G40-G36</f>
        <v>-18573.399999999994</v>
      </c>
      <c r="H41" s="51"/>
      <c r="I41" s="51"/>
      <c r="J41" s="66"/>
    </row>
    <row r="42" spans="3:10" ht="15.75" hidden="1" x14ac:dyDescent="0.25">
      <c r="C42" s="33"/>
      <c r="D42" s="33"/>
      <c r="E42" s="33"/>
      <c r="F42" s="33"/>
      <c r="G42" s="33"/>
      <c r="H42" s="33"/>
      <c r="I42" s="33"/>
      <c r="J42" s="33"/>
    </row>
    <row r="43" spans="3:10" hidden="1" x14ac:dyDescent="0.25"/>
    <row r="44" spans="3:10" hidden="1" x14ac:dyDescent="0.25"/>
    <row r="45" spans="3:10" hidden="1" x14ac:dyDescent="0.25">
      <c r="G45" s="4"/>
    </row>
    <row r="46" spans="3:10" hidden="1" x14ac:dyDescent="0.25"/>
    <row r="47" spans="3:10" hidden="1" x14ac:dyDescent="0.25"/>
    <row r="48" spans="3:10" hidden="1" x14ac:dyDescent="0.25"/>
    <row r="49" spans="3:13" hidden="1" x14ac:dyDescent="0.25"/>
    <row r="50" spans="3:13" hidden="1" x14ac:dyDescent="0.25"/>
    <row r="51" spans="3:13" hidden="1" x14ac:dyDescent="0.25"/>
    <row r="52" spans="3:13" hidden="1" x14ac:dyDescent="0.25"/>
    <row r="53" spans="3:13" ht="21" hidden="1" x14ac:dyDescent="0.35">
      <c r="D53" s="22" t="s">
        <v>71</v>
      </c>
      <c r="J53" s="11"/>
    </row>
    <row r="54" spans="3:13" hidden="1" x14ac:dyDescent="0.25">
      <c r="H54" s="11"/>
      <c r="I54" s="11"/>
      <c r="J54" s="11"/>
    </row>
    <row r="55" spans="3:13" hidden="1" x14ac:dyDescent="0.25">
      <c r="C55" s="56" t="s">
        <v>68</v>
      </c>
      <c r="D55" s="57"/>
      <c r="E55" s="57"/>
      <c r="F55" s="57"/>
      <c r="G55" s="57"/>
      <c r="H55" s="57"/>
      <c r="I55" s="57"/>
      <c r="J55" s="58"/>
    </row>
    <row r="56" spans="3:13" ht="15.75" hidden="1" x14ac:dyDescent="0.25">
      <c r="C56" s="59" t="s">
        <v>0</v>
      </c>
      <c r="D56" s="55" t="s">
        <v>2</v>
      </c>
      <c r="E56" s="55" t="s">
        <v>1</v>
      </c>
      <c r="F56" s="60" t="s">
        <v>3</v>
      </c>
      <c r="G56" s="60" t="s">
        <v>4</v>
      </c>
      <c r="H56" s="60" t="s">
        <v>26</v>
      </c>
      <c r="I56" s="60" t="s">
        <v>33</v>
      </c>
      <c r="J56" s="61" t="s">
        <v>16</v>
      </c>
    </row>
    <row r="57" spans="3:13" ht="15.75" hidden="1" x14ac:dyDescent="0.25">
      <c r="C57" s="30" t="s">
        <v>5</v>
      </c>
      <c r="D57" s="35" t="s">
        <v>63</v>
      </c>
      <c r="E57" s="30" t="s">
        <v>8</v>
      </c>
      <c r="F57" s="36">
        <f>+G57/0.8</f>
        <v>21836.25</v>
      </c>
      <c r="G57" s="36">
        <v>17469</v>
      </c>
      <c r="H57" s="36">
        <f>+F57*0.1</f>
        <v>2183.625</v>
      </c>
      <c r="I57" s="36"/>
      <c r="J57" s="36">
        <f>+H57</f>
        <v>2183.625</v>
      </c>
      <c r="K57" s="4"/>
      <c r="L57">
        <f>+K57*0.8</f>
        <v>0</v>
      </c>
      <c r="M57">
        <f>+K57*0.1</f>
        <v>0</v>
      </c>
    </row>
    <row r="58" spans="3:13" ht="31.5" hidden="1" x14ac:dyDescent="0.25">
      <c r="C58" s="49" t="s">
        <v>47</v>
      </c>
      <c r="D58" s="62" t="s">
        <v>64</v>
      </c>
      <c r="E58" s="28" t="s">
        <v>8</v>
      </c>
      <c r="F58" s="36">
        <v>37278</v>
      </c>
      <c r="G58" s="36">
        <f>+F58*0.8</f>
        <v>29822.400000000001</v>
      </c>
      <c r="H58" s="36">
        <f>+F58*0.1</f>
        <v>3727.8</v>
      </c>
      <c r="I58" s="36"/>
      <c r="J58" s="36">
        <f>+H58</f>
        <v>3727.8</v>
      </c>
    </row>
    <row r="59" spans="3:13" ht="31.5" hidden="1" x14ac:dyDescent="0.25">
      <c r="C59" s="35" t="s">
        <v>49</v>
      </c>
      <c r="D59" s="35" t="s">
        <v>65</v>
      </c>
      <c r="E59" s="30" t="s">
        <v>8</v>
      </c>
      <c r="F59" s="36">
        <v>6428</v>
      </c>
      <c r="G59" s="36">
        <f>+F59*0.8</f>
        <v>5142.4000000000005</v>
      </c>
      <c r="H59" s="36">
        <f>+F59*0.1</f>
        <v>642.80000000000007</v>
      </c>
      <c r="I59" s="36"/>
      <c r="J59" s="36">
        <f>+H59</f>
        <v>642.80000000000007</v>
      </c>
      <c r="K59" s="4"/>
    </row>
    <row r="60" spans="3:13" ht="47.25" hidden="1" x14ac:dyDescent="0.25">
      <c r="C60" s="30" t="s">
        <v>21</v>
      </c>
      <c r="D60" s="35" t="s">
        <v>25</v>
      </c>
      <c r="E60" s="30" t="s">
        <v>12</v>
      </c>
      <c r="F60" s="36">
        <v>7419</v>
      </c>
      <c r="G60" s="36">
        <v>3619</v>
      </c>
      <c r="H60" s="36"/>
      <c r="I60" s="36"/>
      <c r="J60" s="36">
        <f>+G60</f>
        <v>3619</v>
      </c>
    </row>
    <row r="61" spans="3:13" ht="31.5" hidden="1" x14ac:dyDescent="0.25">
      <c r="C61" s="30" t="s">
        <v>66</v>
      </c>
      <c r="D61" s="35" t="s">
        <v>24</v>
      </c>
      <c r="E61" s="30" t="s">
        <v>12</v>
      </c>
      <c r="F61" s="36">
        <v>10094</v>
      </c>
      <c r="G61" s="36">
        <f>+F61*0.5</f>
        <v>5047</v>
      </c>
      <c r="H61" s="36"/>
      <c r="I61" s="36"/>
      <c r="J61" s="36">
        <f>+G61</f>
        <v>5047</v>
      </c>
    </row>
    <row r="62" spans="3:13" ht="15.75" hidden="1" x14ac:dyDescent="0.25">
      <c r="C62" s="30" t="s">
        <v>11</v>
      </c>
      <c r="D62" s="35" t="s">
        <v>51</v>
      </c>
      <c r="E62" s="30" t="s">
        <v>12</v>
      </c>
      <c r="F62" s="36">
        <v>123000</v>
      </c>
      <c r="G62" s="36">
        <v>61900</v>
      </c>
      <c r="H62" s="36">
        <v>0</v>
      </c>
      <c r="I62" s="36">
        <v>61900</v>
      </c>
      <c r="J62" s="36">
        <v>0</v>
      </c>
    </row>
    <row r="63" spans="3:13" ht="15.75" hidden="1" x14ac:dyDescent="0.25">
      <c r="C63" s="49"/>
      <c r="D63" s="43"/>
      <c r="E63" s="45" t="s">
        <v>58</v>
      </c>
      <c r="F63" s="46">
        <f>SUM(F57:F62)</f>
        <v>206055.25</v>
      </c>
      <c r="G63" s="46">
        <f>SUM(G57:G62)</f>
        <v>122999.8</v>
      </c>
      <c r="H63" s="46">
        <f>SUM(H57:H62)</f>
        <v>6554.2250000000004</v>
      </c>
      <c r="I63" s="52">
        <f>SUM(I57:I62)</f>
        <v>61900</v>
      </c>
      <c r="J63" s="46">
        <f>SUM(J57:J62)</f>
        <v>15220.225</v>
      </c>
    </row>
    <row r="64" spans="3:13" ht="15.75" hidden="1" x14ac:dyDescent="0.25">
      <c r="C64" s="49"/>
      <c r="D64" s="43"/>
      <c r="E64" s="43"/>
      <c r="F64" s="43"/>
      <c r="G64" s="43"/>
      <c r="H64" s="43"/>
      <c r="I64" s="43"/>
      <c r="J64" s="63"/>
    </row>
    <row r="65" spans="3:13" ht="15.75" hidden="1" x14ac:dyDescent="0.25">
      <c r="C65" s="64"/>
      <c r="D65" s="48" t="s">
        <v>60</v>
      </c>
      <c r="E65" s="30" t="s">
        <v>67</v>
      </c>
      <c r="F65" s="30" t="s">
        <v>29</v>
      </c>
      <c r="G65" s="40">
        <v>93000</v>
      </c>
      <c r="H65" s="41"/>
      <c r="I65" s="41"/>
      <c r="J65" s="65"/>
    </row>
    <row r="66" spans="3:13" ht="15.75" hidden="1" x14ac:dyDescent="0.25">
      <c r="C66" s="49"/>
      <c r="D66" s="49"/>
      <c r="E66" s="30" t="s">
        <v>70</v>
      </c>
      <c r="F66" s="67">
        <v>2017</v>
      </c>
      <c r="G66" s="40">
        <v>30000</v>
      </c>
      <c r="H66" s="41"/>
      <c r="I66" s="41"/>
      <c r="J66" s="65"/>
    </row>
    <row r="67" spans="3:13" ht="15.75" hidden="1" x14ac:dyDescent="0.25">
      <c r="C67" s="49"/>
      <c r="D67" s="49"/>
      <c r="E67" s="39" t="s">
        <v>27</v>
      </c>
      <c r="F67" s="30"/>
      <c r="G67" s="31">
        <f>+G66+G65</f>
        <v>123000</v>
      </c>
      <c r="H67" s="43"/>
      <c r="I67" s="43"/>
      <c r="J67" s="63"/>
    </row>
    <row r="68" spans="3:13" ht="15.75" hidden="1" x14ac:dyDescent="0.25">
      <c r="C68" s="50"/>
      <c r="D68" s="50"/>
      <c r="E68" s="51"/>
      <c r="F68" s="47" t="s">
        <v>69</v>
      </c>
      <c r="G68" s="46">
        <f>+G67-G63</f>
        <v>0.19999999999708962</v>
      </c>
      <c r="H68" s="51"/>
      <c r="I68" s="51"/>
      <c r="J68" s="66"/>
    </row>
    <row r="69" spans="3:13" ht="15.75" hidden="1" x14ac:dyDescent="0.25">
      <c r="C69" s="33"/>
      <c r="D69" s="33"/>
      <c r="E69" s="33"/>
      <c r="F69" s="33"/>
      <c r="G69" s="33"/>
      <c r="H69" s="33"/>
      <c r="I69" s="33"/>
      <c r="J69" s="33"/>
    </row>
    <row r="70" spans="3:13" ht="15.75" hidden="1" x14ac:dyDescent="0.25">
      <c r="C70" s="33"/>
      <c r="D70" s="33"/>
      <c r="E70" s="53"/>
      <c r="F70" s="54"/>
      <c r="G70" s="54"/>
      <c r="H70" s="54"/>
      <c r="I70" s="54"/>
      <c r="J70" s="54"/>
    </row>
    <row r="71" spans="3:13" ht="15.75" hidden="1" x14ac:dyDescent="0.25">
      <c r="C71" s="33"/>
      <c r="D71" s="33"/>
      <c r="E71" s="28"/>
      <c r="F71" s="44"/>
      <c r="G71" s="44"/>
      <c r="H71" s="44"/>
      <c r="I71" s="44"/>
      <c r="J71" s="44"/>
    </row>
    <row r="72" spans="3:13" ht="15.75" hidden="1" x14ac:dyDescent="0.25">
      <c r="C72" s="33"/>
      <c r="D72" s="33"/>
      <c r="E72" s="43"/>
      <c r="F72" s="55"/>
      <c r="G72" s="54"/>
      <c r="H72" s="43"/>
      <c r="I72" s="43"/>
      <c r="J72" s="43"/>
    </row>
    <row r="73" spans="3:13" hidden="1" x14ac:dyDescent="0.25"/>
    <row r="74" spans="3:13" hidden="1" x14ac:dyDescent="0.25"/>
    <row r="75" spans="3:13" hidden="1" x14ac:dyDescent="0.25"/>
    <row r="76" spans="3:13" hidden="1" x14ac:dyDescent="0.25"/>
    <row r="77" spans="3:13" hidden="1" x14ac:dyDescent="0.25"/>
    <row r="78" spans="3:13" ht="21" hidden="1" x14ac:dyDescent="0.35">
      <c r="D78" s="22" t="s">
        <v>56</v>
      </c>
      <c r="J78" s="11">
        <v>43052</v>
      </c>
    </row>
    <row r="79" spans="3:13" hidden="1" x14ac:dyDescent="0.25">
      <c r="H79" s="11"/>
      <c r="I79" s="11"/>
      <c r="J79" s="11"/>
      <c r="K79" s="11"/>
      <c r="L79" s="11"/>
      <c r="M79" s="11"/>
    </row>
    <row r="80" spans="3:13" hidden="1" x14ac:dyDescent="0.25">
      <c r="C80" s="32" t="s">
        <v>57</v>
      </c>
    </row>
    <row r="81" spans="2:20" ht="15.75" hidden="1" x14ac:dyDescent="0.25">
      <c r="B81" s="33"/>
      <c r="C81" s="33" t="s">
        <v>0</v>
      </c>
      <c r="D81" s="33" t="s">
        <v>2</v>
      </c>
      <c r="E81" s="33" t="s">
        <v>1</v>
      </c>
      <c r="F81" s="34" t="s">
        <v>3</v>
      </c>
      <c r="G81" s="34" t="s">
        <v>4</v>
      </c>
      <c r="H81" s="34" t="s">
        <v>26</v>
      </c>
      <c r="I81" s="34" t="s">
        <v>33</v>
      </c>
      <c r="J81" s="34" t="s">
        <v>16</v>
      </c>
      <c r="K81" s="12"/>
      <c r="L81" s="12"/>
      <c r="M81" s="12"/>
    </row>
    <row r="82" spans="2:20" ht="15.75" hidden="1" x14ac:dyDescent="0.25">
      <c r="B82" s="33">
        <v>1</v>
      </c>
      <c r="C82" s="30" t="s">
        <v>5</v>
      </c>
      <c r="D82" s="35" t="s">
        <v>52</v>
      </c>
      <c r="E82" s="30" t="s">
        <v>8</v>
      </c>
      <c r="F82" s="36">
        <f>SUM(G82:J82)</f>
        <v>18097.5</v>
      </c>
      <c r="G82" s="36">
        <v>14478</v>
      </c>
      <c r="H82" s="36">
        <f>(+G82/0.8)*0.1</f>
        <v>1809.75</v>
      </c>
      <c r="I82" s="36">
        <v>0</v>
      </c>
      <c r="J82" s="36">
        <f>+H82</f>
        <v>1809.75</v>
      </c>
      <c r="K82" s="27"/>
      <c r="L82" s="27"/>
      <c r="M82" s="27"/>
      <c r="N82" s="9">
        <f>+G82/$G$88</f>
        <v>0.18192281788116085</v>
      </c>
      <c r="O82" s="4">
        <f>+N82*$G$90</f>
        <v>16876.615969199531</v>
      </c>
      <c r="P82" s="15">
        <f>+N82*$G$93</f>
        <v>2986.5905165914419</v>
      </c>
      <c r="Q82">
        <v>16288</v>
      </c>
      <c r="R82">
        <f>+Q82/0.9</f>
        <v>18097.777777777777</v>
      </c>
      <c r="S82">
        <f>+R82*0.8</f>
        <v>14478.222222222223</v>
      </c>
      <c r="T82">
        <f>+R82*0.1</f>
        <v>1809.7777777777778</v>
      </c>
    </row>
    <row r="83" spans="2:20" ht="15.75" hidden="1" x14ac:dyDescent="0.25">
      <c r="B83" s="33">
        <v>2</v>
      </c>
      <c r="C83" s="33" t="s">
        <v>47</v>
      </c>
      <c r="D83" s="33" t="s">
        <v>48</v>
      </c>
      <c r="E83" s="28" t="s">
        <v>8</v>
      </c>
      <c r="F83" s="36">
        <f>SUM(G83:J83)</f>
        <v>23728</v>
      </c>
      <c r="G83" s="37">
        <v>18982</v>
      </c>
      <c r="H83" s="37">
        <v>2373</v>
      </c>
      <c r="I83" s="37"/>
      <c r="J83" s="37">
        <v>2373</v>
      </c>
      <c r="K83" s="15"/>
      <c r="L83" s="15"/>
      <c r="M83" s="15"/>
      <c r="Q83">
        <v>21355</v>
      </c>
      <c r="R83">
        <f>+Q83/0.9</f>
        <v>23727.777777777777</v>
      </c>
      <c r="S83">
        <f>+R83*0.8</f>
        <v>18982.222222222223</v>
      </c>
      <c r="T83">
        <f>+R83*0.1</f>
        <v>2372.7777777777778</v>
      </c>
    </row>
    <row r="84" spans="2:20" ht="47.25" hidden="1" x14ac:dyDescent="0.25">
      <c r="B84" s="33">
        <v>3</v>
      </c>
      <c r="C84" s="35" t="s">
        <v>49</v>
      </c>
      <c r="D84" s="35" t="s">
        <v>50</v>
      </c>
      <c r="E84" s="30" t="s">
        <v>8</v>
      </c>
      <c r="F84" s="36">
        <v>9404</v>
      </c>
      <c r="G84" s="36">
        <f>+F84*0.8</f>
        <v>7523.2000000000007</v>
      </c>
      <c r="H84" s="36">
        <f>+F84*0.1</f>
        <v>940.40000000000009</v>
      </c>
      <c r="I84" s="36">
        <v>0</v>
      </c>
      <c r="J84" s="36">
        <f>+H84</f>
        <v>940.40000000000009</v>
      </c>
      <c r="K84" s="27"/>
      <c r="L84" s="27"/>
      <c r="M84" s="27"/>
      <c r="N84" s="9">
        <f>+G84/$G$88</f>
        <v>9.4532514400024137E-2</v>
      </c>
      <c r="O84" s="4">
        <f>+N84*$G$90</f>
        <v>8769.5922958614392</v>
      </c>
      <c r="P84" s="15">
        <f>+N84*$G$93</f>
        <v>1551.9213824023166</v>
      </c>
    </row>
    <row r="85" spans="2:20" ht="47.25" hidden="1" x14ac:dyDescent="0.25">
      <c r="B85" s="33">
        <v>4</v>
      </c>
      <c r="C85" s="30" t="s">
        <v>21</v>
      </c>
      <c r="D85" s="35" t="s">
        <v>25</v>
      </c>
      <c r="E85" s="30" t="s">
        <v>12</v>
      </c>
      <c r="F85" s="36">
        <f>SUM(G85:J85)</f>
        <v>8400</v>
      </c>
      <c r="G85" s="36">
        <v>4200</v>
      </c>
      <c r="H85" s="36">
        <v>0</v>
      </c>
      <c r="I85" s="36">
        <v>0</v>
      </c>
      <c r="J85" s="36">
        <f>+G85</f>
        <v>4200</v>
      </c>
      <c r="K85" s="27"/>
      <c r="L85" s="27"/>
      <c r="M85" s="27"/>
      <c r="N85" s="9">
        <f>+G85/$G$88</f>
        <v>5.2774957528724659E-2</v>
      </c>
      <c r="O85" s="4"/>
      <c r="P85" s="15">
        <v>0</v>
      </c>
    </row>
    <row r="86" spans="2:20" ht="31.5" hidden="1" x14ac:dyDescent="0.25">
      <c r="B86" s="33">
        <v>5</v>
      </c>
      <c r="C86" s="30" t="s">
        <v>54</v>
      </c>
      <c r="D86" s="35" t="s">
        <v>24</v>
      </c>
      <c r="E86" s="30" t="s">
        <v>12</v>
      </c>
      <c r="F86" s="36">
        <f>SUM(G86:J86)</f>
        <v>8800</v>
      </c>
      <c r="G86" s="36">
        <v>4400</v>
      </c>
      <c r="H86" s="36">
        <v>0</v>
      </c>
      <c r="I86" s="36">
        <v>0</v>
      </c>
      <c r="J86" s="36">
        <f>+G86</f>
        <v>4400</v>
      </c>
      <c r="K86" s="27"/>
      <c r="L86" s="27"/>
      <c r="M86" s="27"/>
      <c r="N86" s="9">
        <f>+G86/$G$88</f>
        <v>5.528805074437821E-2</v>
      </c>
      <c r="O86" s="4">
        <f>+N86*$G$90</f>
        <v>5128.9618914544781</v>
      </c>
      <c r="P86" s="15">
        <v>-1086</v>
      </c>
    </row>
    <row r="87" spans="2:20" ht="15.75" hidden="1" x14ac:dyDescent="0.25">
      <c r="B87" s="33">
        <v>6</v>
      </c>
      <c r="C87" s="30" t="s">
        <v>11</v>
      </c>
      <c r="D87" s="35" t="s">
        <v>51</v>
      </c>
      <c r="E87" s="30" t="s">
        <v>12</v>
      </c>
      <c r="F87" s="36">
        <v>1628443</v>
      </c>
      <c r="G87" s="36">
        <v>30000</v>
      </c>
      <c r="H87" s="36">
        <v>0</v>
      </c>
      <c r="I87" s="38">
        <v>484100</v>
      </c>
      <c r="J87" s="36">
        <f>+F87-(G87+I87)</f>
        <v>1114343</v>
      </c>
      <c r="K87" s="27"/>
      <c r="L87" s="27"/>
      <c r="M87" s="27"/>
      <c r="N87" s="9">
        <f>+G87/$G$88</f>
        <v>0.37696398234803324</v>
      </c>
      <c r="O87" s="4">
        <f>+N87*$G$90</f>
        <v>34970.194714462348</v>
      </c>
      <c r="P87" s="15">
        <f>+N87*$G$93</f>
        <v>6188.5423054111934</v>
      </c>
    </row>
    <row r="88" spans="2:20" ht="15.75" hidden="1" x14ac:dyDescent="0.25">
      <c r="B88" s="33"/>
      <c r="C88" s="33"/>
      <c r="D88" s="33"/>
      <c r="E88" s="39" t="s">
        <v>36</v>
      </c>
      <c r="F88" s="31">
        <f>SUM(F82:F87)</f>
        <v>1696872.5</v>
      </c>
      <c r="G88" s="31">
        <f>SUM(G82:G87)</f>
        <v>79583.199999999997</v>
      </c>
      <c r="H88" s="31">
        <f>SUM(H82:H87)</f>
        <v>5123.1499999999996</v>
      </c>
      <c r="I88" s="36">
        <f>SUM(I82:I87)</f>
        <v>484100</v>
      </c>
      <c r="J88" s="31">
        <f>SUM(J82:J87)</f>
        <v>1128066.1499999999</v>
      </c>
      <c r="K88" s="26"/>
      <c r="L88" s="26"/>
      <c r="M88" s="26"/>
      <c r="N88" s="9">
        <f>+G88/$G$88</f>
        <v>1</v>
      </c>
      <c r="O88" s="4">
        <f>+N88*$G$90</f>
        <v>92768</v>
      </c>
      <c r="P88" s="15">
        <f>+N88*$G$93</f>
        <v>16416.800000000003</v>
      </c>
    </row>
    <row r="89" spans="2:20" ht="15.75" hidden="1" x14ac:dyDescent="0.25">
      <c r="B89" s="33"/>
      <c r="C89" s="33"/>
      <c r="D89" s="33"/>
      <c r="E89" s="33"/>
      <c r="F89" s="33"/>
      <c r="G89" s="33"/>
      <c r="H89" s="33"/>
      <c r="I89" s="33"/>
      <c r="J89" s="33"/>
    </row>
    <row r="90" spans="2:20" ht="15.75" hidden="1" x14ac:dyDescent="0.25">
      <c r="B90" s="33"/>
      <c r="D90" s="48" t="s">
        <v>60</v>
      </c>
      <c r="E90" s="30" t="s">
        <v>53</v>
      </c>
      <c r="F90" s="30" t="s">
        <v>29</v>
      </c>
      <c r="G90" s="40">
        <f>+G92-G91</f>
        <v>92768</v>
      </c>
      <c r="H90" s="41"/>
      <c r="I90" s="41"/>
      <c r="J90" s="41"/>
      <c r="K90" s="7"/>
      <c r="L90" s="7"/>
      <c r="M90" s="7"/>
      <c r="N90" s="13">
        <f>SUM(N82:N87)</f>
        <v>0.7614823229023211</v>
      </c>
    </row>
    <row r="91" spans="2:20" ht="15.75" hidden="1" x14ac:dyDescent="0.25">
      <c r="B91" s="33"/>
      <c r="C91" s="33"/>
      <c r="D91" s="49"/>
      <c r="E91" s="30" t="s">
        <v>34</v>
      </c>
      <c r="F91" s="30" t="s">
        <v>59</v>
      </c>
      <c r="G91" s="40">
        <v>3232</v>
      </c>
      <c r="H91" s="41"/>
      <c r="I91" s="41"/>
      <c r="J91" s="41"/>
      <c r="K91" s="7"/>
      <c r="L91" s="7"/>
      <c r="M91" s="7"/>
      <c r="N91" s="13"/>
    </row>
    <row r="92" spans="2:20" ht="15.75" hidden="1" x14ac:dyDescent="0.25">
      <c r="B92" s="33"/>
      <c r="C92" s="33"/>
      <c r="D92" s="49"/>
      <c r="E92" s="39" t="s">
        <v>27</v>
      </c>
      <c r="F92" s="30"/>
      <c r="G92" s="31">
        <v>96000</v>
      </c>
      <c r="H92" s="33"/>
      <c r="I92" s="33"/>
      <c r="J92" s="33"/>
    </row>
    <row r="93" spans="2:20" ht="15.75" hidden="1" x14ac:dyDescent="0.25">
      <c r="B93" s="33"/>
      <c r="C93" s="33"/>
      <c r="D93" s="50"/>
      <c r="E93" s="51"/>
      <c r="F93" s="47" t="s">
        <v>61</v>
      </c>
      <c r="G93" s="46">
        <f>+G92-G88</f>
        <v>16416.800000000003</v>
      </c>
      <c r="H93" s="33"/>
      <c r="I93" s="33"/>
      <c r="J93" s="33"/>
    </row>
    <row r="94" spans="2:20" ht="15.75" hidden="1" x14ac:dyDescent="0.25">
      <c r="B94" s="33"/>
      <c r="C94" s="33"/>
      <c r="D94" s="33"/>
      <c r="E94" s="33"/>
      <c r="F94" s="33"/>
      <c r="G94" s="33"/>
      <c r="H94" s="33"/>
      <c r="I94" s="33"/>
      <c r="J94" s="33"/>
    </row>
    <row r="95" spans="2:20" ht="15.75" hidden="1" x14ac:dyDescent="0.25">
      <c r="B95" s="33"/>
      <c r="C95" s="42" t="s">
        <v>55</v>
      </c>
      <c r="D95" s="33" t="s">
        <v>2</v>
      </c>
      <c r="E95" s="33" t="s">
        <v>1</v>
      </c>
      <c r="F95" s="34" t="s">
        <v>3</v>
      </c>
      <c r="G95" s="34" t="s">
        <v>4</v>
      </c>
      <c r="H95" s="34" t="s">
        <v>26</v>
      </c>
      <c r="I95" s="34" t="s">
        <v>33</v>
      </c>
      <c r="J95" s="34" t="s">
        <v>16</v>
      </c>
    </row>
    <row r="96" spans="2:20" ht="63" hidden="1" x14ac:dyDescent="0.25">
      <c r="B96" s="33">
        <v>7</v>
      </c>
      <c r="C96" s="30" t="s">
        <v>9</v>
      </c>
      <c r="D96" s="35" t="s">
        <v>10</v>
      </c>
      <c r="E96" s="30" t="s">
        <v>8</v>
      </c>
      <c r="F96" s="36">
        <f>SUM(G96:J96)</f>
        <v>21186</v>
      </c>
      <c r="G96" s="36">
        <v>8000</v>
      </c>
      <c r="H96" s="36">
        <f>(+G96/0.8)*0.1</f>
        <v>1000</v>
      </c>
      <c r="I96" s="36">
        <v>12186</v>
      </c>
      <c r="J96" s="36">
        <v>0</v>
      </c>
      <c r="K96" s="27"/>
      <c r="L96" s="27"/>
      <c r="M96" s="27"/>
      <c r="N96" s="9">
        <f>+G96/$G$88</f>
        <v>0.1005237286261422</v>
      </c>
      <c r="O96" s="4">
        <f>+N96*$G$90</f>
        <v>9325.3852571899588</v>
      </c>
      <c r="P96" s="15">
        <f>+N96*$G$93</f>
        <v>1650.2779481096516</v>
      </c>
    </row>
    <row r="97" spans="2:16" ht="31.5" hidden="1" x14ac:dyDescent="0.25">
      <c r="B97" s="33">
        <v>8</v>
      </c>
      <c r="C97" s="35" t="s">
        <v>22</v>
      </c>
      <c r="D97" s="35" t="s">
        <v>7</v>
      </c>
      <c r="E97" s="30" t="s">
        <v>12</v>
      </c>
      <c r="F97" s="36">
        <f>SUM(G97:J97)</f>
        <v>8000</v>
      </c>
      <c r="G97" s="36">
        <v>4000</v>
      </c>
      <c r="H97" s="36">
        <v>0</v>
      </c>
      <c r="I97" s="36">
        <v>0</v>
      </c>
      <c r="J97" s="36">
        <f>+G97</f>
        <v>4000</v>
      </c>
      <c r="K97" s="27"/>
      <c r="L97" s="27"/>
      <c r="M97" s="27"/>
      <c r="N97" s="9">
        <f>+G97/$G$88</f>
        <v>5.02618643130711E-2</v>
      </c>
      <c r="O97" s="4">
        <f>+N97*$G$90</f>
        <v>4662.6926285949794</v>
      </c>
      <c r="P97" s="15">
        <f t="shared" ref="P97" si="4">+N97*$G$93</f>
        <v>825.13897405482578</v>
      </c>
    </row>
    <row r="98" spans="2:16" ht="15.75" hidden="1" x14ac:dyDescent="0.25">
      <c r="B98" s="33"/>
      <c r="C98" s="33"/>
      <c r="D98" s="33"/>
      <c r="E98" s="39" t="s">
        <v>36</v>
      </c>
      <c r="F98" s="31">
        <f>+F97+F96</f>
        <v>29186</v>
      </c>
      <c r="G98" s="31">
        <f t="shared" ref="G98:J98" si="5">+G97+G96</f>
        <v>12000</v>
      </c>
      <c r="H98" s="31">
        <f t="shared" si="5"/>
        <v>1000</v>
      </c>
      <c r="I98" s="31">
        <f t="shared" si="5"/>
        <v>12186</v>
      </c>
      <c r="J98" s="31">
        <f t="shared" si="5"/>
        <v>4000</v>
      </c>
    </row>
    <row r="99" spans="2:16" ht="15.75" hidden="1" x14ac:dyDescent="0.25">
      <c r="B99" s="33"/>
      <c r="C99" s="33"/>
      <c r="D99" s="33"/>
      <c r="E99" s="43"/>
      <c r="F99" s="44"/>
      <c r="G99" s="44"/>
      <c r="H99" s="44"/>
      <c r="I99" s="44"/>
      <c r="J99" s="44"/>
    </row>
    <row r="100" spans="2:16" ht="15.75" hidden="1" x14ac:dyDescent="0.25">
      <c r="B100" s="33"/>
      <c r="C100" s="33"/>
      <c r="D100" s="33"/>
      <c r="E100" s="45" t="s">
        <v>58</v>
      </c>
      <c r="F100" s="46">
        <f>+F98+F88</f>
        <v>1726058.5</v>
      </c>
      <c r="G100" s="46">
        <f>+G98+G88</f>
        <v>91583.2</v>
      </c>
      <c r="H100" s="46">
        <f>+H98+H88</f>
        <v>6123.15</v>
      </c>
      <c r="I100" s="46">
        <f>+I98+I88</f>
        <v>496286</v>
      </c>
      <c r="J100" s="46">
        <f>+J98+J88</f>
        <v>1132066.1499999999</v>
      </c>
    </row>
    <row r="101" spans="2:16" ht="15.75" hidden="1" x14ac:dyDescent="0.25">
      <c r="B101" s="33"/>
      <c r="C101" s="33"/>
      <c r="D101" s="33"/>
      <c r="E101" s="28"/>
      <c r="F101" s="29"/>
      <c r="G101" s="29"/>
      <c r="H101" s="29"/>
      <c r="I101" s="29"/>
      <c r="J101" s="29"/>
    </row>
    <row r="102" spans="2:16" ht="15.75" hidden="1" x14ac:dyDescent="0.25">
      <c r="B102" s="33"/>
      <c r="C102" s="33"/>
      <c r="D102" s="33"/>
      <c r="E102" s="33"/>
      <c r="F102" s="47" t="s">
        <v>62</v>
      </c>
      <c r="G102" s="46">
        <f>+G93-G98</f>
        <v>4416.8000000000029</v>
      </c>
      <c r="H102" s="33"/>
      <c r="I102" s="33"/>
      <c r="J102" s="33"/>
    </row>
    <row r="103" spans="2:16" hidden="1" x14ac:dyDescent="0.25"/>
    <row r="104" spans="2:16" hidden="1" x14ac:dyDescent="0.25"/>
    <row r="105" spans="2:16" hidden="1" x14ac:dyDescent="0.25"/>
    <row r="106" spans="2:16" hidden="1" x14ac:dyDescent="0.25"/>
    <row r="107" spans="2:16" hidden="1" x14ac:dyDescent="0.25"/>
    <row r="108" spans="2:16" hidden="1" x14ac:dyDescent="0.25"/>
    <row r="109" spans="2:16" hidden="1" x14ac:dyDescent="0.25"/>
    <row r="110" spans="2:16" hidden="1" x14ac:dyDescent="0.25"/>
    <row r="111" spans="2:16" hidden="1" x14ac:dyDescent="0.25"/>
    <row r="112" spans="2:16" hidden="1" x14ac:dyDescent="0.25"/>
    <row r="113" spans="3:12" hidden="1" x14ac:dyDescent="0.25"/>
    <row r="114" spans="3:12" ht="18.75" hidden="1" x14ac:dyDescent="0.3">
      <c r="D114" s="20" t="s">
        <v>38</v>
      </c>
      <c r="E114" s="10"/>
      <c r="F114" s="10"/>
    </row>
    <row r="115" spans="3:12" ht="18.75" hidden="1" x14ac:dyDescent="0.3">
      <c r="D115" s="73" t="s">
        <v>42</v>
      </c>
      <c r="E115" s="73"/>
      <c r="F115" s="73"/>
      <c r="G115" s="74"/>
      <c r="H115" s="74"/>
      <c r="I115" s="11"/>
      <c r="J115" s="11">
        <v>42690</v>
      </c>
      <c r="K115" s="11"/>
      <c r="L115" s="11"/>
    </row>
    <row r="116" spans="3:12" ht="18.75" hidden="1" x14ac:dyDescent="0.3">
      <c r="D116" s="10" t="s">
        <v>39</v>
      </c>
      <c r="E116" s="20"/>
      <c r="F116" s="20"/>
      <c r="H116" s="11"/>
      <c r="I116" s="11"/>
      <c r="J116" s="11"/>
      <c r="K116" s="11"/>
      <c r="L116" s="11"/>
    </row>
    <row r="117" spans="3:12" ht="18.75" hidden="1" x14ac:dyDescent="0.3">
      <c r="D117" s="10"/>
      <c r="E117" s="21"/>
      <c r="F117" s="21"/>
      <c r="H117" s="11"/>
      <c r="I117" s="11"/>
      <c r="J117" s="11"/>
      <c r="K117" s="11"/>
      <c r="L117" s="11"/>
    </row>
    <row r="118" spans="3:12" ht="18.75" hidden="1" x14ac:dyDescent="0.3">
      <c r="D118" s="10"/>
      <c r="E118" s="21"/>
      <c r="F118" s="21"/>
      <c r="H118" s="11"/>
      <c r="I118" s="11"/>
      <c r="J118" s="11"/>
      <c r="K118" s="11"/>
      <c r="L118" s="11"/>
    </row>
    <row r="119" spans="3:12" ht="21" hidden="1" x14ac:dyDescent="0.35">
      <c r="C119" s="22" t="s">
        <v>46</v>
      </c>
      <c r="D119" s="10"/>
      <c r="E119" s="21"/>
      <c r="F119" s="21"/>
      <c r="H119" s="11"/>
      <c r="I119" s="11"/>
      <c r="J119" s="11"/>
      <c r="K119" s="11"/>
      <c r="L119" s="11"/>
    </row>
    <row r="120" spans="3:12" hidden="1" x14ac:dyDescent="0.25"/>
    <row r="121" spans="3:12" hidden="1" x14ac:dyDescent="0.25">
      <c r="C121" t="s">
        <v>0</v>
      </c>
      <c r="D121" t="s">
        <v>2</v>
      </c>
      <c r="E121" t="s">
        <v>1</v>
      </c>
      <c r="F121" s="12" t="s">
        <v>3</v>
      </c>
      <c r="G121" s="12" t="s">
        <v>4</v>
      </c>
      <c r="H121" s="12" t="s">
        <v>26</v>
      </c>
      <c r="I121" s="12" t="s">
        <v>33</v>
      </c>
      <c r="J121" s="12" t="s">
        <v>16</v>
      </c>
      <c r="K121" s="12"/>
      <c r="L121" s="12"/>
    </row>
    <row r="122" spans="3:12" hidden="1" x14ac:dyDescent="0.25">
      <c r="C122" s="1" t="s">
        <v>5</v>
      </c>
      <c r="D122" s="3" t="s">
        <v>6</v>
      </c>
      <c r="E122" s="1" t="s">
        <v>8</v>
      </c>
      <c r="F122" s="2">
        <f>+G122/0.8</f>
        <v>17085</v>
      </c>
      <c r="G122" s="23">
        <v>13668</v>
      </c>
      <c r="H122" s="2">
        <f>(+G122/0.8)*0.1</f>
        <v>1708.5</v>
      </c>
      <c r="I122" s="2">
        <v>0</v>
      </c>
      <c r="J122" s="2">
        <f>+F122*0.1</f>
        <v>1708.5</v>
      </c>
      <c r="K122" s="2"/>
      <c r="L122" s="2"/>
    </row>
    <row r="123" spans="3:12" ht="30" hidden="1" x14ac:dyDescent="0.25">
      <c r="C123" s="1" t="s">
        <v>13</v>
      </c>
      <c r="D123" s="3" t="s">
        <v>14</v>
      </c>
      <c r="E123" s="1" t="s">
        <v>12</v>
      </c>
      <c r="F123" s="2">
        <f>+G123+J123</f>
        <v>61000</v>
      </c>
      <c r="G123" s="23">
        <v>30500</v>
      </c>
      <c r="H123" s="2">
        <v>0</v>
      </c>
      <c r="I123" s="2">
        <v>0</v>
      </c>
      <c r="J123" s="2">
        <f>+G123</f>
        <v>30500</v>
      </c>
      <c r="K123" s="2"/>
      <c r="L123" s="2"/>
    </row>
    <row r="124" spans="3:12" ht="45" hidden="1" x14ac:dyDescent="0.25">
      <c r="C124" s="1" t="s">
        <v>40</v>
      </c>
      <c r="D124" s="3" t="s">
        <v>25</v>
      </c>
      <c r="E124" s="1" t="s">
        <v>12</v>
      </c>
      <c r="F124" s="2">
        <f>+G124+J124</f>
        <v>10400</v>
      </c>
      <c r="G124" s="23">
        <v>5200</v>
      </c>
      <c r="H124" s="2">
        <v>0</v>
      </c>
      <c r="I124" s="2">
        <v>0</v>
      </c>
      <c r="J124" s="2">
        <f>+G124</f>
        <v>5200</v>
      </c>
      <c r="K124" s="2"/>
      <c r="L124" s="2"/>
    </row>
    <row r="125" spans="3:12" ht="45" hidden="1" x14ac:dyDescent="0.25">
      <c r="C125" s="1" t="s">
        <v>23</v>
      </c>
      <c r="D125" s="3" t="s">
        <v>41</v>
      </c>
      <c r="E125" s="1" t="s">
        <v>12</v>
      </c>
      <c r="F125" s="2">
        <f>+G125+J125</f>
        <v>8800</v>
      </c>
      <c r="G125" s="23">
        <v>4400</v>
      </c>
      <c r="H125" s="2">
        <v>0</v>
      </c>
      <c r="I125" s="2">
        <v>0</v>
      </c>
      <c r="J125" s="2">
        <f>+G125</f>
        <v>4400</v>
      </c>
      <c r="K125" s="2"/>
      <c r="L125" s="2"/>
    </row>
    <row r="126" spans="3:12" hidden="1" x14ac:dyDescent="0.25">
      <c r="C126" s="1" t="s">
        <v>11</v>
      </c>
      <c r="D126" s="3" t="s">
        <v>45</v>
      </c>
      <c r="E126" s="1" t="s">
        <v>12</v>
      </c>
      <c r="F126" s="2">
        <v>1628443</v>
      </c>
      <c r="G126" s="23">
        <v>25000</v>
      </c>
      <c r="H126" s="2">
        <v>0</v>
      </c>
      <c r="I126" s="14">
        <v>484100</v>
      </c>
      <c r="J126" s="2">
        <f>+F126-(G126+I126)</f>
        <v>1119343</v>
      </c>
      <c r="K126" s="2"/>
      <c r="L126" s="2"/>
    </row>
    <row r="127" spans="3:12" hidden="1" x14ac:dyDescent="0.25">
      <c r="C127" s="1"/>
      <c r="D127" s="3"/>
      <c r="E127" s="18" t="s">
        <v>36</v>
      </c>
      <c r="F127" s="6">
        <f>SUM(F122:F126)</f>
        <v>1725728</v>
      </c>
      <c r="G127" s="24">
        <f t="shared" ref="G127:J127" si="6">SUM(G122:G126)</f>
        <v>78768</v>
      </c>
      <c r="H127" s="6">
        <f t="shared" si="6"/>
        <v>1708.5</v>
      </c>
      <c r="I127" s="6">
        <f t="shared" si="6"/>
        <v>484100</v>
      </c>
      <c r="J127" s="6">
        <f t="shared" si="6"/>
        <v>1161151.5</v>
      </c>
      <c r="K127" s="6"/>
      <c r="L127" s="6"/>
    </row>
    <row r="128" spans="3:12" hidden="1" x14ac:dyDescent="0.25">
      <c r="C128" s="1"/>
      <c r="D128" s="3"/>
      <c r="E128" s="18"/>
      <c r="F128" s="6"/>
      <c r="G128" s="24"/>
      <c r="H128" s="6"/>
      <c r="I128" s="6"/>
      <c r="J128" s="6"/>
      <c r="K128" s="26"/>
      <c r="L128" s="26"/>
    </row>
    <row r="129" spans="3:12" ht="60" hidden="1" x14ac:dyDescent="0.25">
      <c r="C129" s="5" t="s">
        <v>9</v>
      </c>
      <c r="D129" s="19" t="s">
        <v>10</v>
      </c>
      <c r="E129" s="5" t="s">
        <v>8</v>
      </c>
      <c r="F129" s="14">
        <v>21186</v>
      </c>
      <c r="G129" s="23">
        <v>8000</v>
      </c>
      <c r="H129" s="14">
        <f>(+G129/0.8)*0.1</f>
        <v>1000</v>
      </c>
      <c r="I129" s="14">
        <f>+F129-(+G129+H129)</f>
        <v>12186</v>
      </c>
      <c r="J129" s="14">
        <v>0</v>
      </c>
      <c r="K129" s="14"/>
      <c r="L129" s="14"/>
    </row>
    <row r="130" spans="3:12" hidden="1" x14ac:dyDescent="0.25">
      <c r="C130" s="16"/>
      <c r="D130" s="17"/>
      <c r="E130" s="1"/>
      <c r="F130" s="2"/>
      <c r="G130" s="23"/>
      <c r="H130" s="2"/>
      <c r="I130" s="2"/>
      <c r="J130" s="2"/>
      <c r="K130" s="27"/>
      <c r="L130" s="27"/>
    </row>
    <row r="131" spans="3:12" hidden="1" x14ac:dyDescent="0.25">
      <c r="E131" s="18" t="s">
        <v>15</v>
      </c>
      <c r="F131" s="6">
        <f>+F129+F127</f>
        <v>1746914</v>
      </c>
      <c r="G131" s="24">
        <f t="shared" ref="G131:J131" si="7">+G129+G127</f>
        <v>86768</v>
      </c>
      <c r="H131" s="6">
        <f t="shared" si="7"/>
        <v>2708.5</v>
      </c>
      <c r="I131" s="6">
        <f t="shared" si="7"/>
        <v>496286</v>
      </c>
      <c r="J131" s="6">
        <f t="shared" si="7"/>
        <v>1161151.5</v>
      </c>
      <c r="K131" s="6"/>
      <c r="L131" s="6"/>
    </row>
    <row r="132" spans="3:12" hidden="1" x14ac:dyDescent="0.25">
      <c r="G132" s="25"/>
    </row>
    <row r="133" spans="3:12" hidden="1" x14ac:dyDescent="0.25">
      <c r="E133" s="1" t="s">
        <v>34</v>
      </c>
      <c r="F133" s="1"/>
      <c r="G133" s="24">
        <v>90000</v>
      </c>
      <c r="H133" s="7"/>
      <c r="I133" s="7"/>
      <c r="J133" s="7"/>
      <c r="K133" s="7"/>
      <c r="L133" s="7"/>
    </row>
    <row r="134" spans="3:12" hidden="1" x14ac:dyDescent="0.25">
      <c r="E134" s="5" t="s">
        <v>35</v>
      </c>
      <c r="F134" s="1"/>
      <c r="G134" s="23">
        <f>+G131</f>
        <v>86768</v>
      </c>
    </row>
    <row r="135" spans="3:12" hidden="1" x14ac:dyDescent="0.25">
      <c r="E135" s="5" t="s">
        <v>37</v>
      </c>
      <c r="F135" s="1"/>
      <c r="G135" s="24">
        <f>+G133-G134</f>
        <v>3232</v>
      </c>
    </row>
    <row r="136" spans="3:12" hidden="1" x14ac:dyDescent="0.25"/>
    <row r="137" spans="3:12" hidden="1" x14ac:dyDescent="0.25"/>
    <row r="138" spans="3:12" hidden="1" x14ac:dyDescent="0.25"/>
    <row r="139" spans="3:12" hidden="1" x14ac:dyDescent="0.25"/>
    <row r="140" spans="3:12" hidden="1" x14ac:dyDescent="0.25"/>
    <row r="141" spans="3:12" hidden="1" x14ac:dyDescent="0.25"/>
    <row r="142" spans="3:12" hidden="1" x14ac:dyDescent="0.25"/>
    <row r="143" spans="3:12" hidden="1" x14ac:dyDescent="0.25"/>
    <row r="144" spans="3:12" hidden="1" x14ac:dyDescent="0.25"/>
    <row r="145" hidden="1" x14ac:dyDescent="0.25"/>
    <row r="146" hidden="1" x14ac:dyDescent="0.25"/>
  </sheetData>
  <sortState xmlns:xlrd2="http://schemas.microsoft.com/office/spreadsheetml/2017/richdata2" ref="C124:J130">
    <sortCondition ref="E124:E130"/>
  </sortState>
  <mergeCells count="1">
    <mergeCell ref="D115:H115"/>
  </mergeCells>
  <pageMargins left="0.25" right="0.25" top="0.75" bottom="0.75" header="0.3" footer="0.3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K22"/>
  <sheetViews>
    <sheetView workbookViewId="0">
      <selection activeCell="J19" sqref="J19"/>
    </sheetView>
  </sheetViews>
  <sheetFormatPr defaultRowHeight="15" x14ac:dyDescent="0.25"/>
  <cols>
    <col min="3" max="3" width="36.85546875" customWidth="1"/>
    <col min="4" max="4" width="27.28515625" customWidth="1"/>
    <col min="5" max="5" width="20.85546875" bestFit="1" customWidth="1"/>
    <col min="6" max="6" width="12.140625" bestFit="1" customWidth="1"/>
    <col min="7" max="7" width="10.7109375" bestFit="1" customWidth="1"/>
    <col min="8" max="8" width="11.42578125" bestFit="1" customWidth="1"/>
    <col min="9" max="9" width="12" bestFit="1" customWidth="1"/>
    <col min="10" max="10" width="11.5703125" bestFit="1" customWidth="1"/>
  </cols>
  <sheetData>
    <row r="5" spans="2:11" ht="18.75" x14ac:dyDescent="0.3">
      <c r="C5" s="10" t="s">
        <v>17</v>
      </c>
      <c r="G5" s="11">
        <v>42307</v>
      </c>
      <c r="H5" s="11"/>
      <c r="I5" s="11"/>
      <c r="J5" s="11"/>
    </row>
    <row r="7" spans="2:11" x14ac:dyDescent="0.25">
      <c r="C7" t="s">
        <v>0</v>
      </c>
      <c r="D7" t="s">
        <v>2</v>
      </c>
      <c r="E7" t="s">
        <v>1</v>
      </c>
      <c r="F7" s="12" t="s">
        <v>3</v>
      </c>
      <c r="G7" s="12" t="s">
        <v>4</v>
      </c>
      <c r="H7" s="12" t="s">
        <v>26</v>
      </c>
      <c r="I7" s="12" t="s">
        <v>33</v>
      </c>
      <c r="J7" s="12" t="s">
        <v>16</v>
      </c>
    </row>
    <row r="8" spans="2:11" x14ac:dyDescent="0.25">
      <c r="B8">
        <v>1</v>
      </c>
      <c r="C8" s="1" t="s">
        <v>5</v>
      </c>
      <c r="D8" s="3" t="s">
        <v>6</v>
      </c>
      <c r="E8" s="1" t="s">
        <v>8</v>
      </c>
      <c r="F8" s="2">
        <v>15088</v>
      </c>
      <c r="G8" s="2">
        <f>+F8*0.8</f>
        <v>12070.400000000001</v>
      </c>
      <c r="H8" s="2">
        <f>(+G8/0.8)*0.1</f>
        <v>1508.8000000000002</v>
      </c>
      <c r="I8" s="2">
        <v>0</v>
      </c>
      <c r="J8" s="2">
        <f>+F8*0.1</f>
        <v>1508.8000000000002</v>
      </c>
      <c r="K8" s="9"/>
    </row>
    <row r="9" spans="2:11" ht="60" x14ac:dyDescent="0.25">
      <c r="B9">
        <v>2</v>
      </c>
      <c r="C9" s="1" t="s">
        <v>9</v>
      </c>
      <c r="D9" s="3" t="s">
        <v>10</v>
      </c>
      <c r="E9" s="1" t="s">
        <v>8</v>
      </c>
      <c r="F9" s="2">
        <v>21186</v>
      </c>
      <c r="G9" s="2">
        <v>8000</v>
      </c>
      <c r="H9" s="2">
        <f>(+G9/0.8)*0.1</f>
        <v>1000</v>
      </c>
      <c r="I9" s="2">
        <v>12186</v>
      </c>
      <c r="J9" s="2">
        <v>0</v>
      </c>
      <c r="K9" s="9"/>
    </row>
    <row r="10" spans="2:11" ht="60" x14ac:dyDescent="0.25">
      <c r="B10">
        <v>3</v>
      </c>
      <c r="C10" s="3" t="s">
        <v>18</v>
      </c>
      <c r="D10" s="3" t="s">
        <v>19</v>
      </c>
      <c r="E10" s="1" t="s">
        <v>8</v>
      </c>
      <c r="F10" s="2">
        <v>13198</v>
      </c>
      <c r="G10" s="2">
        <f>+F10*0.8</f>
        <v>10558.400000000001</v>
      </c>
      <c r="H10" s="2">
        <f>(+G10/0.8)*0.1</f>
        <v>1319.8000000000002</v>
      </c>
      <c r="I10" s="2">
        <v>0</v>
      </c>
      <c r="J10" s="2">
        <f>+H10</f>
        <v>1319.8000000000002</v>
      </c>
      <c r="K10" s="9"/>
    </row>
    <row r="11" spans="2:11" ht="30" x14ac:dyDescent="0.25">
      <c r="B11">
        <v>4</v>
      </c>
      <c r="C11" s="3" t="s">
        <v>22</v>
      </c>
      <c r="D11" s="3" t="s">
        <v>7</v>
      </c>
      <c r="E11" s="1" t="s">
        <v>12</v>
      </c>
      <c r="F11" s="2">
        <v>12000</v>
      </c>
      <c r="G11" s="2">
        <v>6000</v>
      </c>
      <c r="H11" s="2">
        <v>0</v>
      </c>
      <c r="I11" s="2">
        <v>0</v>
      </c>
      <c r="J11" s="2">
        <f>+F11*0.5</f>
        <v>6000</v>
      </c>
      <c r="K11" s="9"/>
    </row>
    <row r="12" spans="2:11" ht="45" x14ac:dyDescent="0.25">
      <c r="B12">
        <v>5</v>
      </c>
      <c r="C12" s="1" t="s">
        <v>21</v>
      </c>
      <c r="D12" s="3" t="s">
        <v>25</v>
      </c>
      <c r="E12" s="1" t="s">
        <v>12</v>
      </c>
      <c r="F12" s="2">
        <v>10700</v>
      </c>
      <c r="G12" s="2">
        <f>+F12*0.5</f>
        <v>5350</v>
      </c>
      <c r="H12" s="2">
        <v>0</v>
      </c>
      <c r="I12" s="2">
        <v>0</v>
      </c>
      <c r="J12" s="2">
        <f>+G12</f>
        <v>5350</v>
      </c>
      <c r="K12" s="9"/>
    </row>
    <row r="13" spans="2:11" ht="30" x14ac:dyDescent="0.25">
      <c r="B13">
        <v>6</v>
      </c>
      <c r="C13" s="1" t="s">
        <v>23</v>
      </c>
      <c r="D13" s="3" t="s">
        <v>24</v>
      </c>
      <c r="E13" s="1" t="s">
        <v>12</v>
      </c>
      <c r="F13" s="2">
        <v>15000</v>
      </c>
      <c r="G13" s="2">
        <v>7500</v>
      </c>
      <c r="H13" s="2">
        <v>0</v>
      </c>
      <c r="I13" s="2">
        <v>0</v>
      </c>
      <c r="J13" s="2">
        <v>7500</v>
      </c>
      <c r="K13" s="9"/>
    </row>
    <row r="14" spans="2:11" ht="30" x14ac:dyDescent="0.25">
      <c r="B14">
        <v>7</v>
      </c>
      <c r="C14" s="1" t="s">
        <v>11</v>
      </c>
      <c r="D14" s="3" t="s">
        <v>20</v>
      </c>
      <c r="E14" s="1" t="s">
        <v>12</v>
      </c>
      <c r="F14" s="2">
        <v>1628443</v>
      </c>
      <c r="G14" s="2">
        <v>25000</v>
      </c>
      <c r="H14" s="2">
        <v>0</v>
      </c>
      <c r="I14" s="14">
        <v>484100</v>
      </c>
      <c r="J14" s="2">
        <f>+F14-(G14+I14)</f>
        <v>1119343</v>
      </c>
      <c r="K14" s="9"/>
    </row>
    <row r="15" spans="2:11" ht="30" x14ac:dyDescent="0.25">
      <c r="B15">
        <v>9</v>
      </c>
      <c r="C15" s="1" t="s">
        <v>13</v>
      </c>
      <c r="D15" s="3" t="s">
        <v>14</v>
      </c>
      <c r="E15" s="1" t="s">
        <v>12</v>
      </c>
      <c r="F15" s="2">
        <v>64123</v>
      </c>
      <c r="G15" s="2">
        <v>32023</v>
      </c>
      <c r="H15" s="2">
        <v>0</v>
      </c>
      <c r="I15" s="2">
        <v>0</v>
      </c>
      <c r="J15" s="2">
        <f>+G15</f>
        <v>32023</v>
      </c>
      <c r="K15" s="9"/>
    </row>
    <row r="16" spans="2:11" x14ac:dyDescent="0.25">
      <c r="E16" s="5" t="s">
        <v>15</v>
      </c>
      <c r="F16" s="6">
        <f>SUM(F8:F15)</f>
        <v>1779738</v>
      </c>
      <c r="G16" s="6">
        <f>SUM(G8:G15)</f>
        <v>106501.8</v>
      </c>
      <c r="H16" s="6">
        <f>SUM(H8:H15)</f>
        <v>3828.6000000000004</v>
      </c>
      <c r="I16" s="2">
        <f>SUM(I8:I15)</f>
        <v>496286</v>
      </c>
      <c r="J16" s="6">
        <f>SUM(J8:J15)</f>
        <v>1173044.6000000001</v>
      </c>
      <c r="K16" s="9"/>
    </row>
    <row r="18" spans="5:11" x14ac:dyDescent="0.25">
      <c r="E18" s="1" t="s">
        <v>32</v>
      </c>
      <c r="F18" s="1" t="s">
        <v>29</v>
      </c>
      <c r="G18" s="8">
        <v>90000</v>
      </c>
      <c r="H18" s="7"/>
      <c r="I18" s="7"/>
      <c r="J18" s="7"/>
      <c r="K18" s="13"/>
    </row>
    <row r="19" spans="5:11" x14ac:dyDescent="0.25">
      <c r="E19" s="5" t="s">
        <v>31</v>
      </c>
      <c r="F19" s="1" t="s">
        <v>30</v>
      </c>
      <c r="G19" s="2">
        <v>7500</v>
      </c>
    </row>
    <row r="20" spans="5:11" x14ac:dyDescent="0.25">
      <c r="E20" s="5" t="s">
        <v>27</v>
      </c>
      <c r="F20" s="1"/>
      <c r="G20" s="6">
        <f>+G19+G18</f>
        <v>97500</v>
      </c>
    </row>
    <row r="22" spans="5:11" x14ac:dyDescent="0.25">
      <c r="F22" t="s">
        <v>28</v>
      </c>
      <c r="G22" s="4">
        <f>+G20-G16</f>
        <v>-9001.8000000000029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9"/>
  <sheetViews>
    <sheetView workbookViewId="0">
      <selection activeCell="I6" sqref="I6"/>
    </sheetView>
  </sheetViews>
  <sheetFormatPr defaultRowHeight="15" x14ac:dyDescent="0.25"/>
  <cols>
    <col min="2" max="2" width="29.140625" bestFit="1" customWidth="1"/>
    <col min="3" max="3" width="23.7109375" customWidth="1"/>
    <col min="4" max="4" width="20.7109375" customWidth="1"/>
    <col min="6" max="6" width="11" customWidth="1"/>
    <col min="7" max="7" width="11.42578125" customWidth="1"/>
  </cols>
  <sheetData>
    <row r="2" spans="2:7" x14ac:dyDescent="0.25">
      <c r="E2" t="s">
        <v>43</v>
      </c>
      <c r="F2" t="s">
        <v>26</v>
      </c>
      <c r="G2" t="s">
        <v>44</v>
      </c>
    </row>
    <row r="3" spans="2:7" x14ac:dyDescent="0.25">
      <c r="B3" s="1" t="s">
        <v>5</v>
      </c>
      <c r="C3" s="3" t="s">
        <v>6</v>
      </c>
      <c r="D3" s="1" t="s">
        <v>8</v>
      </c>
      <c r="E3" s="14">
        <v>13668</v>
      </c>
      <c r="F3" s="6">
        <v>1709</v>
      </c>
      <c r="G3" s="6">
        <f>+F3+E3</f>
        <v>15377</v>
      </c>
    </row>
    <row r="4" spans="2:7" ht="30" x14ac:dyDescent="0.25">
      <c r="B4" s="1" t="s">
        <v>13</v>
      </c>
      <c r="C4" s="3" t="s">
        <v>14</v>
      </c>
      <c r="D4" s="1" t="s">
        <v>12</v>
      </c>
      <c r="E4" s="14">
        <v>30500</v>
      </c>
      <c r="F4" s="6">
        <v>0</v>
      </c>
      <c r="G4" s="6">
        <f t="shared" ref="G4:G8" si="0">+F4+E4</f>
        <v>30500</v>
      </c>
    </row>
    <row r="5" spans="2:7" ht="45" x14ac:dyDescent="0.25">
      <c r="B5" s="1" t="s">
        <v>40</v>
      </c>
      <c r="C5" s="3" t="s">
        <v>25</v>
      </c>
      <c r="D5" s="1" t="s">
        <v>12</v>
      </c>
      <c r="E5" s="14">
        <v>5200</v>
      </c>
      <c r="F5" s="6">
        <v>0</v>
      </c>
      <c r="G5" s="6">
        <f t="shared" si="0"/>
        <v>5200</v>
      </c>
    </row>
    <row r="6" spans="2:7" ht="60" x14ac:dyDescent="0.25">
      <c r="B6" s="1" t="s">
        <v>23</v>
      </c>
      <c r="C6" s="3" t="s">
        <v>41</v>
      </c>
      <c r="D6" s="1" t="s">
        <v>12</v>
      </c>
      <c r="E6" s="14">
        <v>4400</v>
      </c>
      <c r="F6" s="6">
        <v>0</v>
      </c>
      <c r="G6" s="6">
        <f t="shared" si="0"/>
        <v>4400</v>
      </c>
    </row>
    <row r="7" spans="2:7" ht="30" x14ac:dyDescent="0.25">
      <c r="B7" s="1" t="s">
        <v>11</v>
      </c>
      <c r="C7" s="3" t="s">
        <v>20</v>
      </c>
      <c r="D7" s="1" t="s">
        <v>12</v>
      </c>
      <c r="E7" s="14">
        <v>25000</v>
      </c>
      <c r="F7" s="6">
        <v>0</v>
      </c>
      <c r="G7" s="6">
        <f t="shared" si="0"/>
        <v>25000</v>
      </c>
    </row>
    <row r="8" spans="2:7" ht="75" x14ac:dyDescent="0.25">
      <c r="B8" s="5" t="s">
        <v>9</v>
      </c>
      <c r="C8" s="19" t="s">
        <v>10</v>
      </c>
      <c r="D8" s="5" t="s">
        <v>8</v>
      </c>
      <c r="E8" s="14">
        <v>8000</v>
      </c>
      <c r="F8" s="6">
        <v>1000</v>
      </c>
      <c r="G8" s="6">
        <f t="shared" si="0"/>
        <v>9000</v>
      </c>
    </row>
    <row r="9" spans="2:7" x14ac:dyDescent="0.25">
      <c r="D9" s="18" t="s">
        <v>15</v>
      </c>
      <c r="E9" s="8">
        <f>SUM(E3:E8)</f>
        <v>86768</v>
      </c>
      <c r="F9" s="6">
        <f>SUM(F3:F8)</f>
        <v>2709</v>
      </c>
      <c r="G9" s="6">
        <f>+F9+E9</f>
        <v>89477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New York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Mengel, Dwight (DFA3-A50)</dc:creator>
  <cp:lastModifiedBy>Mengel, Dwight (DFA)</cp:lastModifiedBy>
  <cp:lastPrinted>2019-11-18T14:39:10Z</cp:lastPrinted>
  <dcterms:created xsi:type="dcterms:W3CDTF">2013-10-02T20:42:47Z</dcterms:created>
  <dcterms:modified xsi:type="dcterms:W3CDTF">2019-12-05T18:52:17Z</dcterms:modified>
</cp:coreProperties>
</file>