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wight_Mengel\1 DSS\1 SCMP\2018 SCMP\"/>
    </mc:Choice>
  </mc:AlternateContent>
  <bookViews>
    <workbookView xWindow="480" yWindow="135" windowWidth="18195" windowHeight="10980"/>
  </bookViews>
  <sheets>
    <sheet name="Sheet1" sheetId="1" r:id="rId1"/>
    <sheet name="Sheet2" sheetId="2" r:id="rId2"/>
    <sheet name="Sheet3" sheetId="3" r:id="rId3"/>
  </sheets>
  <definedNames>
    <definedName name="_xlnm.Print_Area" localSheetId="0">Sheet1!#REF!</definedName>
  </definedNames>
  <calcPr calcId="171027"/>
</workbook>
</file>

<file path=xl/calcChain.xml><?xml version="1.0" encoding="utf-8"?>
<calcChain xmlns="http://schemas.openxmlformats.org/spreadsheetml/2006/main">
  <c r="G15" i="1" l="1"/>
  <c r="I23" i="1"/>
  <c r="G23" i="1"/>
  <c r="H9" i="1" l="1"/>
  <c r="G9" i="1"/>
  <c r="J11" i="1"/>
  <c r="F11" i="1" s="1"/>
  <c r="F8" i="1"/>
  <c r="R8" i="1"/>
  <c r="S8" i="1" s="1"/>
  <c r="J22" i="1"/>
  <c r="R7" i="1"/>
  <c r="T7" i="1" s="1"/>
  <c r="F22" i="1" l="1"/>
  <c r="J23" i="1"/>
  <c r="T8" i="1"/>
  <c r="S7" i="1"/>
  <c r="G8" i="3" l="1"/>
  <c r="G7" i="3"/>
  <c r="G6" i="3"/>
  <c r="G5" i="3"/>
  <c r="G4" i="3"/>
  <c r="G3" i="3"/>
  <c r="F9" i="3"/>
  <c r="E9" i="3"/>
  <c r="G9" i="3" s="1"/>
  <c r="I52" i="1" l="1"/>
  <c r="G52" i="1"/>
  <c r="G56" i="1" s="1"/>
  <c r="J48" i="1"/>
  <c r="F48" i="1" s="1"/>
  <c r="H54" i="1"/>
  <c r="I54" i="1" s="1"/>
  <c r="I56" i="1" l="1"/>
  <c r="J51" i="1"/>
  <c r="J50" i="1"/>
  <c r="F50" i="1" s="1"/>
  <c r="J49" i="1"/>
  <c r="F49" i="1" s="1"/>
  <c r="H47" i="1"/>
  <c r="H52" i="1" s="1"/>
  <c r="H56" i="1" s="1"/>
  <c r="F47" i="1"/>
  <c r="J47" i="1" l="1"/>
  <c r="J52" i="1" s="1"/>
  <c r="J56" i="1" s="1"/>
  <c r="F52" i="1"/>
  <c r="F56" i="1" s="1"/>
  <c r="G59" i="1"/>
  <c r="G60" i="1" s="1"/>
  <c r="I16" i="2"/>
  <c r="F16" i="2"/>
  <c r="J15" i="2"/>
  <c r="J14" i="2"/>
  <c r="G12" i="2"/>
  <c r="J12" i="2" s="1"/>
  <c r="J11" i="2"/>
  <c r="G10" i="2"/>
  <c r="H9" i="2"/>
  <c r="J8" i="2"/>
  <c r="G8" i="2"/>
  <c r="H21" i="1"/>
  <c r="I13" i="1"/>
  <c r="I25" i="1" s="1"/>
  <c r="J10" i="1"/>
  <c r="F10" i="1" s="1"/>
  <c r="F21" i="1" l="1"/>
  <c r="F23" i="1" s="1"/>
  <c r="H23" i="1"/>
  <c r="G16" i="2"/>
  <c r="G20" i="2"/>
  <c r="G22" i="2" s="1"/>
  <c r="H10" i="2"/>
  <c r="J10" i="2" s="1"/>
  <c r="J16" i="2" s="1"/>
  <c r="H8" i="2"/>
  <c r="J12" i="1"/>
  <c r="H7" i="1"/>
  <c r="J7" i="1" l="1"/>
  <c r="F7" i="1"/>
  <c r="F13" i="1" s="1"/>
  <c r="F25" i="1" s="1"/>
  <c r="H16" i="2"/>
  <c r="H13" i="1"/>
  <c r="H25" i="1" s="1"/>
  <c r="G13" i="1"/>
  <c r="J9" i="1"/>
  <c r="N22" i="1" l="1"/>
  <c r="G25" i="1"/>
  <c r="N21" i="1"/>
  <c r="N10" i="1"/>
  <c r="J13" i="1"/>
  <c r="J25" i="1" s="1"/>
  <c r="N7" i="1"/>
  <c r="N9" i="1"/>
  <c r="N13" i="1"/>
  <c r="N11" i="1"/>
  <c r="N12" i="1"/>
  <c r="N15" i="1" l="1"/>
  <c r="O22" i="1"/>
  <c r="O13" i="1"/>
  <c r="O7" i="1"/>
  <c r="G18" i="1"/>
  <c r="P22" i="1" s="1"/>
  <c r="O9" i="1"/>
  <c r="G27" i="1" l="1"/>
  <c r="O21" i="1"/>
  <c r="P12" i="1"/>
  <c r="P13" i="1"/>
  <c r="O11" i="1"/>
  <c r="O12" i="1"/>
  <c r="P7" i="1"/>
  <c r="P21" i="1"/>
  <c r="P9" i="1"/>
</calcChain>
</file>

<file path=xl/sharedStrings.xml><?xml version="1.0" encoding="utf-8"?>
<sst xmlns="http://schemas.openxmlformats.org/spreadsheetml/2006/main" count="150" uniqueCount="63">
  <si>
    <t>Applicant</t>
  </si>
  <si>
    <t>Type</t>
  </si>
  <si>
    <t>Project Name</t>
  </si>
  <si>
    <t>Total</t>
  </si>
  <si>
    <t xml:space="preserve">Federal </t>
  </si>
  <si>
    <t>Human Services Coalition</t>
  </si>
  <si>
    <t>FISH Call Center Support</t>
  </si>
  <si>
    <t>Go2Work Taxi Voucher</t>
  </si>
  <si>
    <t>Mobility Management</t>
  </si>
  <si>
    <t>Challenge WorkForce Solutions</t>
  </si>
  <si>
    <t>Expanding Access to Employment and Community for Adults with Disabilities through Travel Training</t>
  </si>
  <si>
    <t>GADABOUT</t>
  </si>
  <si>
    <t>Operating Assistance</t>
  </si>
  <si>
    <t>Ithaca Carshare</t>
  </si>
  <si>
    <t>Easy Access Low Income Carshare Memberships</t>
  </si>
  <si>
    <t>TOTAL</t>
  </si>
  <si>
    <t>Local</t>
  </si>
  <si>
    <t>Proposed Special Community Mobility Projects for 2016</t>
  </si>
  <si>
    <t>Cornell Cooperative Extension/ Get Your Green Back</t>
  </si>
  <si>
    <t>Gaining Insights from Transportation Constrained to Influence Long Term Planning Goals</t>
  </si>
  <si>
    <t>Operating Assistance for 2016</t>
  </si>
  <si>
    <t>FISH Tompkins County</t>
  </si>
  <si>
    <t>Tompkins County DSS/ Women's Opportunity Center</t>
  </si>
  <si>
    <t>FISH Regional Pilot</t>
  </si>
  <si>
    <t xml:space="preserve">Volunteer transportation for regional medical trips </t>
  </si>
  <si>
    <t>Volunteer transportation for medical trips in Tompkins County</t>
  </si>
  <si>
    <t>State Match</t>
  </si>
  <si>
    <t>Total Federal</t>
  </si>
  <si>
    <t>Deficit</t>
  </si>
  <si>
    <t>New</t>
  </si>
  <si>
    <t>Re-allocated</t>
  </si>
  <si>
    <t>FFY 2015 Section 5307</t>
  </si>
  <si>
    <t>FFY 2016 Section 5307</t>
  </si>
  <si>
    <t xml:space="preserve"> Other State </t>
  </si>
  <si>
    <t>FFY 2017 Section 5307</t>
  </si>
  <si>
    <t>Total Federal Obligated</t>
  </si>
  <si>
    <t>SUBTOTAL</t>
  </si>
  <si>
    <t xml:space="preserve">Balance </t>
  </si>
  <si>
    <t>Tompkins County Coordinated Transportation Plan Committee</t>
  </si>
  <si>
    <t>to the Ithaca-Tompkins County Transportation Council</t>
  </si>
  <si>
    <t xml:space="preserve">FISH Tompkins County </t>
  </si>
  <si>
    <t>Volunteer transportation for regional medical trips, outside Tompkins County</t>
  </si>
  <si>
    <t>Recommendations of 2017 Special Community Mobility Projects (SCMP)</t>
  </si>
  <si>
    <t>Federal</t>
  </si>
  <si>
    <t>Total Grant</t>
  </si>
  <si>
    <t>Operating Assistance for 2017</t>
  </si>
  <si>
    <t>Special Community Mobility Projects for 2017, adopted 12/20/2016</t>
  </si>
  <si>
    <t>BikeWalk Tompkins</t>
  </si>
  <si>
    <t>Bikeshare for All</t>
  </si>
  <si>
    <t>Cornell Cooperative Extension/ Way2Go</t>
  </si>
  <si>
    <t xml:space="preserve">Chinese &amp; Spanish Translations of Mobility Information </t>
  </si>
  <si>
    <t xml:space="preserve">Operating Assistance </t>
  </si>
  <si>
    <t>211-FISH Call Center Support</t>
  </si>
  <si>
    <t>FFY 2018 Section 5307</t>
  </si>
  <si>
    <t>FISH Regional Service</t>
  </si>
  <si>
    <t>Late Applications</t>
  </si>
  <si>
    <t>2018 SCMP Proposals considered by Coordinated Plannning Committee</t>
  </si>
  <si>
    <t>On-Time Applications</t>
  </si>
  <si>
    <t xml:space="preserve">GRAND TOTAL </t>
  </si>
  <si>
    <t>Old</t>
  </si>
  <si>
    <t>REVENUES</t>
  </si>
  <si>
    <t>Net Federal 1</t>
  </si>
  <si>
    <t>Net Federal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</si>
</sst>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0" fillId="0" borderId="1" xfId="0" applyBorder="1" applyAlignment="1">
      <alignment wrapText="1"/>
    </xf>
    <xf numFmtId="164" fontId="0" fillId="0" borderId="0" xfId="0" applyNumberFormat="1"/>
    <xf numFmtId="0" fontId="0" fillId="0" borderId="1" xfId="0" applyFill="1" applyBorder="1"/>
    <xf numFmtId="164" fontId="0" fillId="0" borderId="1" xfId="0" applyNumberFormat="1" applyBorder="1"/>
    <xf numFmtId="164" fontId="0" fillId="0" borderId="0" xfId="0" applyNumberFormat="1" applyFill="1" applyBorder="1"/>
    <xf numFmtId="164" fontId="0" fillId="0" borderId="1" xfId="0" applyNumberFormat="1" applyFill="1" applyBorder="1"/>
    <xf numFmtId="9" fontId="0" fillId="0" borderId="0" xfId="2" applyFont="1"/>
    <xf numFmtId="0" fontId="2" fillId="0" borderId="0" xfId="0" applyFont="1"/>
    <xf numFmtId="14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/>
    <xf numFmtId="164" fontId="0" fillId="0" borderId="1" xfId="1" applyNumberFormat="1" applyFont="1" applyFill="1" applyBorder="1"/>
    <xf numFmtId="164" fontId="0" fillId="0" borderId="0" xfId="1" applyNumberFormat="1" applyFont="1"/>
    <xf numFmtId="0" fontId="0" fillId="0" borderId="0" xfId="0" applyBorder="1"/>
    <xf numFmtId="0" fontId="0" fillId="0" borderId="0" xfId="0" applyBorder="1" applyAlignment="1">
      <alignment wrapText="1"/>
    </xf>
    <xf numFmtId="0" fontId="3" fillId="0" borderId="1" xfId="0" applyFont="1" applyFill="1" applyBorder="1"/>
    <xf numFmtId="0" fontId="0" fillId="0" borderId="1" xfId="0" applyFill="1" applyBorder="1" applyAlignment="1">
      <alignment wrapText="1"/>
    </xf>
    <xf numFmtId="0" fontId="2" fillId="0" borderId="0" xfId="0" applyFont="1" applyAlignment="1"/>
    <xf numFmtId="0" fontId="2" fillId="0" borderId="0" xfId="0" applyFont="1" applyAlignment="1"/>
    <xf numFmtId="0" fontId="4" fillId="0" borderId="0" xfId="0" applyFont="1"/>
    <xf numFmtId="164" fontId="0" fillId="2" borderId="1" xfId="1" applyNumberFormat="1" applyFont="1" applyFill="1" applyBorder="1"/>
    <xf numFmtId="164" fontId="0" fillId="2" borderId="1" xfId="0" applyNumberFormat="1" applyFill="1" applyBorder="1"/>
    <xf numFmtId="0" fontId="0" fillId="2" borderId="0" xfId="0" applyFill="1"/>
    <xf numFmtId="0" fontId="2" fillId="0" borderId="0" xfId="0" applyFont="1" applyAlignment="1"/>
    <xf numFmtId="0" fontId="0" fillId="0" borderId="0" xfId="0" applyAlignment="1"/>
    <xf numFmtId="164" fontId="0" fillId="0" borderId="0" xfId="0" applyNumberFormat="1" applyBorder="1"/>
    <xf numFmtId="164" fontId="0" fillId="0" borderId="0" xfId="1" applyNumberFormat="1" applyFont="1" applyBorder="1"/>
    <xf numFmtId="0" fontId="5" fillId="0" borderId="0" xfId="0" applyFont="1" applyFill="1" applyBorder="1"/>
    <xf numFmtId="164" fontId="5" fillId="0" borderId="0" xfId="0" applyNumberFormat="1" applyFont="1"/>
    <xf numFmtId="0" fontId="5" fillId="0" borderId="1" xfId="0" applyFont="1" applyBorder="1"/>
    <xf numFmtId="164" fontId="5" fillId="0" borderId="1" xfId="0" applyNumberFormat="1" applyFont="1" applyBorder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164" fontId="5" fillId="0" borderId="1" xfId="1" applyNumberFormat="1" applyFont="1" applyBorder="1"/>
    <xf numFmtId="164" fontId="5" fillId="0" borderId="0" xfId="1" applyNumberFormat="1" applyFont="1"/>
    <xf numFmtId="164" fontId="5" fillId="0" borderId="1" xfId="1" applyNumberFormat="1" applyFont="1" applyFill="1" applyBorder="1"/>
    <xf numFmtId="0" fontId="5" fillId="0" borderId="1" xfId="0" applyFont="1" applyFill="1" applyBorder="1"/>
    <xf numFmtId="164" fontId="5" fillId="0" borderId="1" xfId="0" applyNumberFormat="1" applyFont="1" applyFill="1" applyBorder="1"/>
    <xf numFmtId="164" fontId="5" fillId="0" borderId="0" xfId="0" applyNumberFormat="1" applyFont="1" applyFill="1" applyBorder="1"/>
    <xf numFmtId="0" fontId="6" fillId="0" borderId="0" xfId="0" applyFont="1"/>
    <xf numFmtId="0" fontId="5" fillId="0" borderId="0" xfId="0" applyFont="1" applyBorder="1"/>
    <xf numFmtId="164" fontId="5" fillId="0" borderId="0" xfId="0" applyNumberFormat="1" applyFont="1" applyBorder="1"/>
    <xf numFmtId="0" fontId="6" fillId="0" borderId="1" xfId="0" applyFont="1" applyFill="1" applyBorder="1"/>
    <xf numFmtId="164" fontId="6" fillId="0" borderId="1" xfId="0" applyNumberFormat="1" applyFont="1" applyBorder="1"/>
    <xf numFmtId="0" fontId="6" fillId="0" borderId="1" xfId="0" applyFont="1" applyBorder="1"/>
    <xf numFmtId="0" fontId="6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T60"/>
  <sheetViews>
    <sheetView tabSelected="1" workbookViewId="0">
      <selection activeCell="K1" sqref="K1"/>
    </sheetView>
  </sheetViews>
  <sheetFormatPr defaultRowHeight="15" x14ac:dyDescent="0.25"/>
  <cols>
    <col min="2" max="2" width="4.140625" customWidth="1"/>
    <col min="3" max="3" width="30.140625" customWidth="1"/>
    <col min="4" max="4" width="30.28515625" customWidth="1"/>
    <col min="5" max="5" width="22.85546875" customWidth="1"/>
    <col min="6" max="6" width="16" bestFit="1" customWidth="1"/>
    <col min="7" max="7" width="12.7109375" customWidth="1"/>
    <col min="8" max="8" width="11.28515625" customWidth="1"/>
    <col min="9" max="9" width="13.85546875" bestFit="1" customWidth="1"/>
    <col min="10" max="10" width="16" bestFit="1" customWidth="1"/>
    <col min="11" max="13" width="12" customWidth="1"/>
    <col min="15" max="15" width="11.7109375" hidden="1" customWidth="1"/>
    <col min="16" max="16" width="11.28515625" bestFit="1" customWidth="1"/>
  </cols>
  <sheetData>
    <row r="3" spans="2:20" ht="21" x14ac:dyDescent="0.35">
      <c r="D3" s="22" t="s">
        <v>56</v>
      </c>
      <c r="J3" s="11">
        <v>43052</v>
      </c>
    </row>
    <row r="4" spans="2:20" x14ac:dyDescent="0.25">
      <c r="H4" s="11"/>
      <c r="I4" s="11"/>
      <c r="J4" s="11"/>
      <c r="K4" s="11"/>
      <c r="L4" s="11"/>
      <c r="M4" s="11"/>
    </row>
    <row r="5" spans="2:20" x14ac:dyDescent="0.25">
      <c r="C5" s="34" t="s">
        <v>57</v>
      </c>
    </row>
    <row r="6" spans="2:20" ht="15.75" x14ac:dyDescent="0.25">
      <c r="B6" s="35"/>
      <c r="C6" s="35" t="s">
        <v>0</v>
      </c>
      <c r="D6" s="35" t="s">
        <v>2</v>
      </c>
      <c r="E6" s="35" t="s">
        <v>1</v>
      </c>
      <c r="F6" s="36" t="s">
        <v>3</v>
      </c>
      <c r="G6" s="36" t="s">
        <v>4</v>
      </c>
      <c r="H6" s="36" t="s">
        <v>26</v>
      </c>
      <c r="I6" s="36" t="s">
        <v>33</v>
      </c>
      <c r="J6" s="36" t="s">
        <v>16</v>
      </c>
      <c r="K6" s="12"/>
      <c r="L6" s="12"/>
      <c r="M6" s="12"/>
    </row>
    <row r="7" spans="2:20" ht="15.75" x14ac:dyDescent="0.25">
      <c r="B7" s="35">
        <v>1</v>
      </c>
      <c r="C7" s="32" t="s">
        <v>5</v>
      </c>
      <c r="D7" s="37" t="s">
        <v>52</v>
      </c>
      <c r="E7" s="32" t="s">
        <v>8</v>
      </c>
      <c r="F7" s="38">
        <f>SUM(G7:J7)</f>
        <v>18097.5</v>
      </c>
      <c r="G7" s="38">
        <v>14478</v>
      </c>
      <c r="H7" s="38">
        <f>(+G7/0.8)*0.1</f>
        <v>1809.75</v>
      </c>
      <c r="I7" s="38">
        <v>0</v>
      </c>
      <c r="J7" s="38">
        <f>+H7</f>
        <v>1809.75</v>
      </c>
      <c r="K7" s="29"/>
      <c r="L7" s="29"/>
      <c r="M7" s="29"/>
      <c r="N7" s="9">
        <f>+G7/$G$13</f>
        <v>0.18192281788116085</v>
      </c>
      <c r="O7" s="4">
        <f>+N7*$G$15</f>
        <v>16876.615969199531</v>
      </c>
      <c r="P7" s="15">
        <f>+N7*$G$18</f>
        <v>2986.5905165914419</v>
      </c>
      <c r="Q7">
        <v>16288</v>
      </c>
      <c r="R7">
        <f>+Q7/0.9</f>
        <v>18097.777777777777</v>
      </c>
      <c r="S7">
        <f>+R7*0.8</f>
        <v>14478.222222222223</v>
      </c>
      <c r="T7">
        <f>+R7*0.1</f>
        <v>1809.7777777777778</v>
      </c>
    </row>
    <row r="8" spans="2:20" ht="15.75" x14ac:dyDescent="0.25">
      <c r="B8" s="35">
        <v>2</v>
      </c>
      <c r="C8" s="35" t="s">
        <v>47</v>
      </c>
      <c r="D8" s="35" t="s">
        <v>48</v>
      </c>
      <c r="E8" s="30" t="s">
        <v>8</v>
      </c>
      <c r="F8" s="38">
        <f>SUM(G8:J8)</f>
        <v>23728</v>
      </c>
      <c r="G8" s="39">
        <v>18982</v>
      </c>
      <c r="H8" s="39">
        <v>2373</v>
      </c>
      <c r="I8" s="39"/>
      <c r="J8" s="39">
        <v>2373</v>
      </c>
      <c r="K8" s="15"/>
      <c r="L8" s="15"/>
      <c r="M8" s="15"/>
      <c r="Q8">
        <v>21355</v>
      </c>
      <c r="R8">
        <f>+Q8/0.9</f>
        <v>23727.777777777777</v>
      </c>
      <c r="S8">
        <f>+R8*0.8</f>
        <v>18982.222222222223</v>
      </c>
      <c r="T8">
        <f>+R8*0.1</f>
        <v>2372.7777777777778</v>
      </c>
    </row>
    <row r="9" spans="2:20" ht="47.25" x14ac:dyDescent="0.25">
      <c r="B9" s="35">
        <v>3</v>
      </c>
      <c r="C9" s="37" t="s">
        <v>49</v>
      </c>
      <c r="D9" s="37" t="s">
        <v>50</v>
      </c>
      <c r="E9" s="32" t="s">
        <v>8</v>
      </c>
      <c r="F9" s="38">
        <v>9404</v>
      </c>
      <c r="G9" s="38">
        <f>+F9*0.8</f>
        <v>7523.2000000000007</v>
      </c>
      <c r="H9" s="38">
        <f>+F9*0.1</f>
        <v>940.40000000000009</v>
      </c>
      <c r="I9" s="38">
        <v>0</v>
      </c>
      <c r="J9" s="38">
        <f>+H9</f>
        <v>940.40000000000009</v>
      </c>
      <c r="K9" s="29"/>
      <c r="L9" s="29"/>
      <c r="M9" s="29"/>
      <c r="N9" s="9">
        <f>+G9/$G$13</f>
        <v>9.4532514400024137E-2</v>
      </c>
      <c r="O9" s="4">
        <f>+N9*$G$15</f>
        <v>8769.5922958614392</v>
      </c>
      <c r="P9" s="15">
        <f>+N9*$G$18</f>
        <v>1551.9213824023166</v>
      </c>
    </row>
    <row r="10" spans="2:20" ht="47.25" x14ac:dyDescent="0.25">
      <c r="B10" s="35">
        <v>4</v>
      </c>
      <c r="C10" s="32" t="s">
        <v>21</v>
      </c>
      <c r="D10" s="37" t="s">
        <v>25</v>
      </c>
      <c r="E10" s="32" t="s">
        <v>12</v>
      </c>
      <c r="F10" s="38">
        <f t="shared" ref="F10:F11" si="0">SUM(G10:J10)</f>
        <v>8400</v>
      </c>
      <c r="G10" s="38">
        <v>4200</v>
      </c>
      <c r="H10" s="38">
        <v>0</v>
      </c>
      <c r="I10" s="38">
        <v>0</v>
      </c>
      <c r="J10" s="38">
        <f>+G10</f>
        <v>4200</v>
      </c>
      <c r="K10" s="29"/>
      <c r="L10" s="29"/>
      <c r="M10" s="29"/>
      <c r="N10" s="9">
        <f>+G10/$G$13</f>
        <v>5.2774957528724659E-2</v>
      </c>
      <c r="O10" s="4"/>
      <c r="P10" s="15">
        <v>0</v>
      </c>
    </row>
    <row r="11" spans="2:20" ht="31.5" x14ac:dyDescent="0.25">
      <c r="B11" s="35">
        <v>5</v>
      </c>
      <c r="C11" s="32" t="s">
        <v>54</v>
      </c>
      <c r="D11" s="37" t="s">
        <v>24</v>
      </c>
      <c r="E11" s="32" t="s">
        <v>12</v>
      </c>
      <c r="F11" s="38">
        <f t="shared" si="0"/>
        <v>8800</v>
      </c>
      <c r="G11" s="38">
        <v>4400</v>
      </c>
      <c r="H11" s="38">
        <v>0</v>
      </c>
      <c r="I11" s="38">
        <v>0</v>
      </c>
      <c r="J11" s="38">
        <f>+G11</f>
        <v>4400</v>
      </c>
      <c r="K11" s="29"/>
      <c r="L11" s="29"/>
      <c r="M11" s="29"/>
      <c r="N11" s="9">
        <f>+G11/$G$13</f>
        <v>5.528805074437821E-2</v>
      </c>
      <c r="O11" s="4">
        <f>+N11*$G$15</f>
        <v>5128.9618914544781</v>
      </c>
      <c r="P11" s="15">
        <v>-1086</v>
      </c>
    </row>
    <row r="12" spans="2:20" ht="15.75" x14ac:dyDescent="0.25">
      <c r="B12" s="35">
        <v>6</v>
      </c>
      <c r="C12" s="32" t="s">
        <v>11</v>
      </c>
      <c r="D12" s="37" t="s">
        <v>51</v>
      </c>
      <c r="E12" s="32" t="s">
        <v>12</v>
      </c>
      <c r="F12" s="38">
        <v>1628443</v>
      </c>
      <c r="G12" s="38">
        <v>30000</v>
      </c>
      <c r="H12" s="38">
        <v>0</v>
      </c>
      <c r="I12" s="40">
        <v>484100</v>
      </c>
      <c r="J12" s="38">
        <f>+F12-(G12+I12)</f>
        <v>1114343</v>
      </c>
      <c r="K12" s="29"/>
      <c r="L12" s="29"/>
      <c r="M12" s="29"/>
      <c r="N12" s="9">
        <f>+G12/$G$13</f>
        <v>0.37696398234803324</v>
      </c>
      <c r="O12" s="4">
        <f>+N12*$G$15</f>
        <v>34970.194714462348</v>
      </c>
      <c r="P12" s="15">
        <f>+N12*$G$18</f>
        <v>6188.5423054111934</v>
      </c>
    </row>
    <row r="13" spans="2:20" ht="15.75" x14ac:dyDescent="0.25">
      <c r="B13" s="35"/>
      <c r="C13" s="35"/>
      <c r="D13" s="35"/>
      <c r="E13" s="41" t="s">
        <v>36</v>
      </c>
      <c r="F13" s="33">
        <f>SUM(F7:F12)</f>
        <v>1696872.5</v>
      </c>
      <c r="G13" s="33">
        <f>SUM(G7:G12)</f>
        <v>79583.199999999997</v>
      </c>
      <c r="H13" s="33">
        <f>SUM(H7:H12)</f>
        <v>5123.1499999999996</v>
      </c>
      <c r="I13" s="38">
        <f>SUM(I7:I12)</f>
        <v>484100</v>
      </c>
      <c r="J13" s="33">
        <f>SUM(J7:J12)</f>
        <v>1128066.1499999999</v>
      </c>
      <c r="K13" s="28"/>
      <c r="L13" s="28"/>
      <c r="M13" s="28"/>
      <c r="N13" s="9">
        <f>+G13/$G$13</f>
        <v>1</v>
      </c>
      <c r="O13" s="4">
        <f>+N13*$G$15</f>
        <v>92768</v>
      </c>
      <c r="P13" s="15">
        <f>+N13*$G$18</f>
        <v>16416.800000000003</v>
      </c>
    </row>
    <row r="14" spans="2:20" ht="15.75" x14ac:dyDescent="0.25">
      <c r="B14" s="35"/>
      <c r="C14" s="35"/>
      <c r="D14" s="35"/>
      <c r="E14" s="35"/>
      <c r="F14" s="35"/>
      <c r="G14" s="35"/>
      <c r="H14" s="35"/>
      <c r="I14" s="35"/>
      <c r="J14" s="35"/>
    </row>
    <row r="15" spans="2:20" ht="15.75" x14ac:dyDescent="0.25">
      <c r="B15" s="35"/>
      <c r="D15" s="50" t="s">
        <v>60</v>
      </c>
      <c r="E15" s="32" t="s">
        <v>53</v>
      </c>
      <c r="F15" s="32" t="s">
        <v>29</v>
      </c>
      <c r="G15" s="42">
        <f>+G17-G16</f>
        <v>92768</v>
      </c>
      <c r="H15" s="43"/>
      <c r="I15" s="43"/>
      <c r="J15" s="43"/>
      <c r="K15" s="7"/>
      <c r="L15" s="7"/>
      <c r="M15" s="7"/>
      <c r="N15" s="13">
        <f>SUM(N7:N12)</f>
        <v>0.7614823229023211</v>
      </c>
    </row>
    <row r="16" spans="2:20" ht="15.75" x14ac:dyDescent="0.25">
      <c r="B16" s="35"/>
      <c r="C16" s="35"/>
      <c r="D16" s="51"/>
      <c r="E16" s="32" t="s">
        <v>34</v>
      </c>
      <c r="F16" s="32" t="s">
        <v>59</v>
      </c>
      <c r="G16" s="42">
        <v>3232</v>
      </c>
      <c r="H16" s="43"/>
      <c r="I16" s="43"/>
      <c r="J16" s="43"/>
      <c r="K16" s="7"/>
      <c r="L16" s="7"/>
      <c r="M16" s="7"/>
      <c r="N16" s="13"/>
    </row>
    <row r="17" spans="2:16" ht="15.75" x14ac:dyDescent="0.25">
      <c r="B17" s="35"/>
      <c r="C17" s="35"/>
      <c r="D17" s="51"/>
      <c r="E17" s="41" t="s">
        <v>27</v>
      </c>
      <c r="F17" s="32"/>
      <c r="G17" s="33">
        <v>96000</v>
      </c>
      <c r="H17" s="35"/>
      <c r="I17" s="35"/>
      <c r="J17" s="35"/>
    </row>
    <row r="18" spans="2:16" ht="15.75" x14ac:dyDescent="0.25">
      <c r="B18" s="35"/>
      <c r="C18" s="35"/>
      <c r="D18" s="52"/>
      <c r="E18" s="53"/>
      <c r="F18" s="49" t="s">
        <v>61</v>
      </c>
      <c r="G18" s="48">
        <f>+G17-G13</f>
        <v>16416.800000000003</v>
      </c>
      <c r="H18" s="35"/>
      <c r="I18" s="35"/>
      <c r="J18" s="35"/>
    </row>
    <row r="19" spans="2:16" ht="15.75" x14ac:dyDescent="0.25">
      <c r="B19" s="35"/>
      <c r="C19" s="35"/>
      <c r="D19" s="35"/>
      <c r="E19" s="35"/>
      <c r="F19" s="35"/>
      <c r="G19" s="35"/>
      <c r="H19" s="35"/>
      <c r="I19" s="35"/>
      <c r="J19" s="35"/>
    </row>
    <row r="20" spans="2:16" ht="15.75" x14ac:dyDescent="0.25">
      <c r="B20" s="35"/>
      <c r="C20" s="44" t="s">
        <v>55</v>
      </c>
      <c r="D20" s="35" t="s">
        <v>2</v>
      </c>
      <c r="E20" s="35" t="s">
        <v>1</v>
      </c>
      <c r="F20" s="36" t="s">
        <v>3</v>
      </c>
      <c r="G20" s="36" t="s">
        <v>4</v>
      </c>
      <c r="H20" s="36" t="s">
        <v>26</v>
      </c>
      <c r="I20" s="36" t="s">
        <v>33</v>
      </c>
      <c r="J20" s="36" t="s">
        <v>16</v>
      </c>
    </row>
    <row r="21" spans="2:16" ht="63" x14ac:dyDescent="0.25">
      <c r="B21" s="35">
        <v>7</v>
      </c>
      <c r="C21" s="32" t="s">
        <v>9</v>
      </c>
      <c r="D21" s="37" t="s">
        <v>10</v>
      </c>
      <c r="E21" s="32" t="s">
        <v>8</v>
      </c>
      <c r="F21" s="38">
        <f>SUM(G21:J21)</f>
        <v>21186</v>
      </c>
      <c r="G21" s="38">
        <v>8000</v>
      </c>
      <c r="H21" s="38">
        <f>(+G21/0.8)*0.1</f>
        <v>1000</v>
      </c>
      <c r="I21" s="38">
        <v>12186</v>
      </c>
      <c r="J21" s="38">
        <v>0</v>
      </c>
      <c r="K21" s="29"/>
      <c r="L21" s="29"/>
      <c r="M21" s="29"/>
      <c r="N21" s="9">
        <f>+G21/$G$13</f>
        <v>0.1005237286261422</v>
      </c>
      <c r="O21" s="4">
        <f>+N21*$G$15</f>
        <v>9325.3852571899588</v>
      </c>
      <c r="P21" s="15">
        <f>+N21*$G$18</f>
        <v>1650.2779481096516</v>
      </c>
    </row>
    <row r="22" spans="2:16" ht="47.25" x14ac:dyDescent="0.25">
      <c r="B22" s="35">
        <v>8</v>
      </c>
      <c r="C22" s="37" t="s">
        <v>22</v>
      </c>
      <c r="D22" s="37" t="s">
        <v>7</v>
      </c>
      <c r="E22" s="32" t="s">
        <v>12</v>
      </c>
      <c r="F22" s="38">
        <f>SUM(G22:J22)</f>
        <v>8000</v>
      </c>
      <c r="G22" s="38">
        <v>4000</v>
      </c>
      <c r="H22" s="38">
        <v>0</v>
      </c>
      <c r="I22" s="38">
        <v>0</v>
      </c>
      <c r="J22" s="38">
        <f>+G22</f>
        <v>4000</v>
      </c>
      <c r="K22" s="29"/>
      <c r="L22" s="29"/>
      <c r="M22" s="29"/>
      <c r="N22" s="9">
        <f t="shared" ref="N22" si="1">+G22/$G$13</f>
        <v>5.02618643130711E-2</v>
      </c>
      <c r="O22" s="4">
        <f>+N22*$G$15</f>
        <v>4662.6926285949794</v>
      </c>
      <c r="P22" s="15">
        <f t="shared" ref="P22" si="2">+N22*$G$18</f>
        <v>825.13897405482578</v>
      </c>
    </row>
    <row r="23" spans="2:16" ht="15.75" x14ac:dyDescent="0.25">
      <c r="B23" s="35"/>
      <c r="C23" s="35"/>
      <c r="D23" s="35"/>
      <c r="E23" s="41" t="s">
        <v>36</v>
      </c>
      <c r="F23" s="33">
        <f>+F22+F21</f>
        <v>29186</v>
      </c>
      <c r="G23" s="33">
        <f t="shared" ref="G23:J23" si="3">+G22+G21</f>
        <v>12000</v>
      </c>
      <c r="H23" s="33">
        <f t="shared" si="3"/>
        <v>1000</v>
      </c>
      <c r="I23" s="33">
        <f t="shared" si="3"/>
        <v>12186</v>
      </c>
      <c r="J23" s="33">
        <f t="shared" si="3"/>
        <v>4000</v>
      </c>
    </row>
    <row r="24" spans="2:16" ht="15.75" x14ac:dyDescent="0.25">
      <c r="B24" s="35"/>
      <c r="C24" s="35"/>
      <c r="D24" s="35"/>
      <c r="E24" s="45"/>
      <c r="F24" s="46"/>
      <c r="G24" s="46"/>
      <c r="H24" s="46"/>
      <c r="I24" s="46"/>
      <c r="J24" s="46"/>
    </row>
    <row r="25" spans="2:16" ht="15.75" x14ac:dyDescent="0.25">
      <c r="B25" s="35"/>
      <c r="C25" s="35"/>
      <c r="D25" s="35"/>
      <c r="E25" s="47" t="s">
        <v>58</v>
      </c>
      <c r="F25" s="48">
        <f>+F23+F13</f>
        <v>1726058.5</v>
      </c>
      <c r="G25" s="48">
        <f>+G23+G13</f>
        <v>91583.2</v>
      </c>
      <c r="H25" s="48">
        <f>+H23+H13</f>
        <v>6123.15</v>
      </c>
      <c r="I25" s="48">
        <f>+I23+I13</f>
        <v>496286</v>
      </c>
      <c r="J25" s="48">
        <f>+J23+J13</f>
        <v>1132066.1499999999</v>
      </c>
    </row>
    <row r="26" spans="2:16" ht="15.75" x14ac:dyDescent="0.25">
      <c r="B26" s="35"/>
      <c r="C26" s="35"/>
      <c r="D26" s="35"/>
      <c r="E26" s="30"/>
      <c r="F26" s="31"/>
      <c r="G26" s="31"/>
      <c r="H26" s="31"/>
      <c r="I26" s="31"/>
      <c r="J26" s="31"/>
    </row>
    <row r="27" spans="2:16" ht="15.75" x14ac:dyDescent="0.25">
      <c r="B27" s="35"/>
      <c r="C27" s="35"/>
      <c r="D27" s="35"/>
      <c r="E27" s="35"/>
      <c r="F27" s="49" t="s">
        <v>62</v>
      </c>
      <c r="G27" s="48">
        <f>+G18-G23</f>
        <v>4416.8000000000029</v>
      </c>
      <c r="H27" s="35"/>
      <c r="I27" s="35"/>
      <c r="J27" s="35"/>
    </row>
    <row r="39" spans="3:12" ht="18.75" x14ac:dyDescent="0.3">
      <c r="D39" s="20" t="s">
        <v>38</v>
      </c>
      <c r="E39" s="10"/>
      <c r="F39" s="10"/>
    </row>
    <row r="40" spans="3:12" ht="18.75" x14ac:dyDescent="0.3">
      <c r="D40" s="26" t="s">
        <v>42</v>
      </c>
      <c r="E40" s="26"/>
      <c r="F40" s="26"/>
      <c r="G40" s="27"/>
      <c r="H40" s="27"/>
      <c r="I40" s="11"/>
      <c r="J40" s="11">
        <v>42690</v>
      </c>
      <c r="K40" s="11"/>
      <c r="L40" s="11"/>
    </row>
    <row r="41" spans="3:12" ht="18.75" x14ac:dyDescent="0.3">
      <c r="D41" s="10" t="s">
        <v>39</v>
      </c>
      <c r="E41" s="20"/>
      <c r="F41" s="20"/>
      <c r="H41" s="11"/>
      <c r="I41" s="11"/>
      <c r="J41" s="11"/>
      <c r="K41" s="11"/>
      <c r="L41" s="11"/>
    </row>
    <row r="42" spans="3:12" ht="18.75" x14ac:dyDescent="0.3">
      <c r="D42" s="10"/>
      <c r="E42" s="21"/>
      <c r="F42" s="21"/>
      <c r="H42" s="11"/>
      <c r="I42" s="11"/>
      <c r="J42" s="11"/>
      <c r="K42" s="11"/>
      <c r="L42" s="11"/>
    </row>
    <row r="43" spans="3:12" ht="18.75" x14ac:dyDescent="0.3">
      <c r="D43" s="10"/>
      <c r="E43" s="21"/>
      <c r="F43" s="21"/>
      <c r="H43" s="11"/>
      <c r="I43" s="11"/>
      <c r="J43" s="11"/>
      <c r="K43" s="11"/>
      <c r="L43" s="11"/>
    </row>
    <row r="44" spans="3:12" ht="21" x14ac:dyDescent="0.35">
      <c r="C44" s="22" t="s">
        <v>46</v>
      </c>
      <c r="D44" s="10"/>
      <c r="E44" s="21"/>
      <c r="F44" s="21"/>
      <c r="H44" s="11"/>
      <c r="I44" s="11"/>
      <c r="J44" s="11"/>
      <c r="K44" s="11"/>
      <c r="L44" s="11"/>
    </row>
    <row r="46" spans="3:12" x14ac:dyDescent="0.25">
      <c r="C46" t="s">
        <v>0</v>
      </c>
      <c r="D46" t="s">
        <v>2</v>
      </c>
      <c r="E46" t="s">
        <v>1</v>
      </c>
      <c r="F46" s="12" t="s">
        <v>3</v>
      </c>
      <c r="G46" s="12" t="s">
        <v>4</v>
      </c>
      <c r="H46" s="12" t="s">
        <v>26</v>
      </c>
      <c r="I46" s="12" t="s">
        <v>33</v>
      </c>
      <c r="J46" s="12" t="s">
        <v>16</v>
      </c>
      <c r="K46" s="12"/>
      <c r="L46" s="12"/>
    </row>
    <row r="47" spans="3:12" x14ac:dyDescent="0.25">
      <c r="C47" s="1" t="s">
        <v>5</v>
      </c>
      <c r="D47" s="3" t="s">
        <v>6</v>
      </c>
      <c r="E47" s="1" t="s">
        <v>8</v>
      </c>
      <c r="F47" s="2">
        <f>+G47/0.8</f>
        <v>17085</v>
      </c>
      <c r="G47" s="23">
        <v>13668</v>
      </c>
      <c r="H47" s="2">
        <f>(+G47/0.8)*0.1</f>
        <v>1708.5</v>
      </c>
      <c r="I47" s="2">
        <v>0</v>
      </c>
      <c r="J47" s="2">
        <f>+F47*0.1</f>
        <v>1708.5</v>
      </c>
      <c r="K47" s="2"/>
      <c r="L47" s="2"/>
    </row>
    <row r="48" spans="3:12" ht="30" x14ac:dyDescent="0.25">
      <c r="C48" s="1" t="s">
        <v>13</v>
      </c>
      <c r="D48" s="3" t="s">
        <v>14</v>
      </c>
      <c r="E48" s="1" t="s">
        <v>12</v>
      </c>
      <c r="F48" s="2">
        <f>+G48+J48</f>
        <v>61000</v>
      </c>
      <c r="G48" s="23">
        <v>30500</v>
      </c>
      <c r="H48" s="2">
        <v>0</v>
      </c>
      <c r="I48" s="2">
        <v>0</v>
      </c>
      <c r="J48" s="2">
        <f>+G48</f>
        <v>30500</v>
      </c>
      <c r="K48" s="2"/>
      <c r="L48" s="2"/>
    </row>
    <row r="49" spans="3:12" ht="45" x14ac:dyDescent="0.25">
      <c r="C49" s="1" t="s">
        <v>40</v>
      </c>
      <c r="D49" s="3" t="s">
        <v>25</v>
      </c>
      <c r="E49" s="1" t="s">
        <v>12</v>
      </c>
      <c r="F49" s="2">
        <f>+G49+J49</f>
        <v>10400</v>
      </c>
      <c r="G49" s="23">
        <v>5200</v>
      </c>
      <c r="H49" s="2">
        <v>0</v>
      </c>
      <c r="I49" s="2">
        <v>0</v>
      </c>
      <c r="J49" s="2">
        <f>+G49</f>
        <v>5200</v>
      </c>
      <c r="K49" s="2"/>
      <c r="L49" s="2"/>
    </row>
    <row r="50" spans="3:12" ht="45" x14ac:dyDescent="0.25">
      <c r="C50" s="1" t="s">
        <v>23</v>
      </c>
      <c r="D50" s="3" t="s">
        <v>41</v>
      </c>
      <c r="E50" s="1" t="s">
        <v>12</v>
      </c>
      <c r="F50" s="2">
        <f>+G50+J50</f>
        <v>8800</v>
      </c>
      <c r="G50" s="23">
        <v>4400</v>
      </c>
      <c r="H50" s="2">
        <v>0</v>
      </c>
      <c r="I50" s="2">
        <v>0</v>
      </c>
      <c r="J50" s="2">
        <f>+G50</f>
        <v>4400</v>
      </c>
      <c r="K50" s="2"/>
      <c r="L50" s="2"/>
    </row>
    <row r="51" spans="3:12" x14ac:dyDescent="0.25">
      <c r="C51" s="1" t="s">
        <v>11</v>
      </c>
      <c r="D51" s="3" t="s">
        <v>45</v>
      </c>
      <c r="E51" s="1" t="s">
        <v>12</v>
      </c>
      <c r="F51" s="2">
        <v>1628443</v>
      </c>
      <c r="G51" s="23">
        <v>25000</v>
      </c>
      <c r="H51" s="2">
        <v>0</v>
      </c>
      <c r="I51" s="14">
        <v>484100</v>
      </c>
      <c r="J51" s="2">
        <f>+F51-(G51+I51)</f>
        <v>1119343</v>
      </c>
      <c r="K51" s="2"/>
      <c r="L51" s="2"/>
    </row>
    <row r="52" spans="3:12" x14ac:dyDescent="0.25">
      <c r="C52" s="1"/>
      <c r="D52" s="3"/>
      <c r="E52" s="18" t="s">
        <v>36</v>
      </c>
      <c r="F52" s="6">
        <f>SUM(F47:F51)</f>
        <v>1725728</v>
      </c>
      <c r="G52" s="24">
        <f t="shared" ref="G52:J52" si="4">SUM(G47:G51)</f>
        <v>78768</v>
      </c>
      <c r="H52" s="6">
        <f t="shared" si="4"/>
        <v>1708.5</v>
      </c>
      <c r="I52" s="6">
        <f t="shared" si="4"/>
        <v>484100</v>
      </c>
      <c r="J52" s="6">
        <f t="shared" si="4"/>
        <v>1161151.5</v>
      </c>
      <c r="K52" s="6"/>
      <c r="L52" s="6"/>
    </row>
    <row r="53" spans="3:12" x14ac:dyDescent="0.25">
      <c r="C53" s="1"/>
      <c r="D53" s="3"/>
      <c r="E53" s="18"/>
      <c r="F53" s="6"/>
      <c r="G53" s="24"/>
      <c r="H53" s="6"/>
      <c r="I53" s="6"/>
      <c r="J53" s="6"/>
      <c r="K53" s="28"/>
      <c r="L53" s="28"/>
    </row>
    <row r="54" spans="3:12" ht="60" x14ac:dyDescent="0.25">
      <c r="C54" s="5" t="s">
        <v>9</v>
      </c>
      <c r="D54" s="19" t="s">
        <v>10</v>
      </c>
      <c r="E54" s="5" t="s">
        <v>8</v>
      </c>
      <c r="F54" s="14">
        <v>21186</v>
      </c>
      <c r="G54" s="23">
        <v>8000</v>
      </c>
      <c r="H54" s="14">
        <f>(+G54/0.8)*0.1</f>
        <v>1000</v>
      </c>
      <c r="I54" s="14">
        <f>+F54-(+G54+H54)</f>
        <v>12186</v>
      </c>
      <c r="J54" s="14">
        <v>0</v>
      </c>
      <c r="K54" s="14"/>
      <c r="L54" s="14"/>
    </row>
    <row r="55" spans="3:12" x14ac:dyDescent="0.25">
      <c r="C55" s="16"/>
      <c r="D55" s="17"/>
      <c r="E55" s="1"/>
      <c r="F55" s="2"/>
      <c r="G55" s="23"/>
      <c r="H55" s="2"/>
      <c r="I55" s="2"/>
      <c r="J55" s="2"/>
      <c r="K55" s="29"/>
      <c r="L55" s="29"/>
    </row>
    <row r="56" spans="3:12" x14ac:dyDescent="0.25">
      <c r="E56" s="18" t="s">
        <v>15</v>
      </c>
      <c r="F56" s="6">
        <f>+F54+F52</f>
        <v>1746914</v>
      </c>
      <c r="G56" s="24">
        <f t="shared" ref="G56:J56" si="5">+G54+G52</f>
        <v>86768</v>
      </c>
      <c r="H56" s="6">
        <f t="shared" si="5"/>
        <v>2708.5</v>
      </c>
      <c r="I56" s="6">
        <f t="shared" si="5"/>
        <v>496286</v>
      </c>
      <c r="J56" s="6">
        <f t="shared" si="5"/>
        <v>1161151.5</v>
      </c>
      <c r="K56" s="6"/>
      <c r="L56" s="6"/>
    </row>
    <row r="57" spans="3:12" x14ac:dyDescent="0.25">
      <c r="G57" s="25"/>
    </row>
    <row r="58" spans="3:12" x14ac:dyDescent="0.25">
      <c r="E58" s="1" t="s">
        <v>34</v>
      </c>
      <c r="F58" s="1"/>
      <c r="G58" s="24">
        <v>90000</v>
      </c>
      <c r="H58" s="7"/>
      <c r="I58" s="7"/>
      <c r="J58" s="7"/>
      <c r="K58" s="7"/>
      <c r="L58" s="7"/>
    </row>
    <row r="59" spans="3:12" x14ac:dyDescent="0.25">
      <c r="E59" s="5" t="s">
        <v>35</v>
      </c>
      <c r="F59" s="1"/>
      <c r="G59" s="23">
        <f>+G56</f>
        <v>86768</v>
      </c>
    </row>
    <row r="60" spans="3:12" x14ac:dyDescent="0.25">
      <c r="E60" s="5" t="s">
        <v>37</v>
      </c>
      <c r="F60" s="1"/>
      <c r="G60" s="24">
        <f>+G58-G59</f>
        <v>3232</v>
      </c>
    </row>
  </sheetData>
  <sortState ref="C49:J55">
    <sortCondition ref="E49:E55"/>
  </sortState>
  <mergeCells count="1">
    <mergeCell ref="D40:H40"/>
  </mergeCells>
  <pageMargins left="0.25" right="0.25" top="0.75" bottom="0.7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22"/>
  <sheetViews>
    <sheetView workbookViewId="0">
      <selection activeCell="J19" sqref="J19"/>
    </sheetView>
  </sheetViews>
  <sheetFormatPr defaultRowHeight="15" x14ac:dyDescent="0.25"/>
  <cols>
    <col min="3" max="3" width="36.85546875" customWidth="1"/>
    <col min="4" max="4" width="27.28515625" customWidth="1"/>
    <col min="5" max="5" width="20.85546875" bestFit="1" customWidth="1"/>
    <col min="6" max="6" width="12.140625" bestFit="1" customWidth="1"/>
    <col min="7" max="7" width="10.7109375" bestFit="1" customWidth="1"/>
    <col min="8" max="8" width="11.42578125" bestFit="1" customWidth="1"/>
    <col min="9" max="9" width="12" bestFit="1" customWidth="1"/>
    <col min="10" max="10" width="11.5703125" bestFit="1" customWidth="1"/>
  </cols>
  <sheetData>
    <row r="5" spans="2:11" ht="18.75" x14ac:dyDescent="0.3">
      <c r="C5" s="10" t="s">
        <v>17</v>
      </c>
      <c r="G5" s="11">
        <v>42307</v>
      </c>
      <c r="H5" s="11"/>
      <c r="I5" s="11"/>
      <c r="J5" s="11"/>
    </row>
    <row r="7" spans="2:11" x14ac:dyDescent="0.25">
      <c r="C7" t="s">
        <v>0</v>
      </c>
      <c r="D7" t="s">
        <v>2</v>
      </c>
      <c r="E7" t="s">
        <v>1</v>
      </c>
      <c r="F7" s="12" t="s">
        <v>3</v>
      </c>
      <c r="G7" s="12" t="s">
        <v>4</v>
      </c>
      <c r="H7" s="12" t="s">
        <v>26</v>
      </c>
      <c r="I7" s="12" t="s">
        <v>33</v>
      </c>
      <c r="J7" s="12" t="s">
        <v>16</v>
      </c>
    </row>
    <row r="8" spans="2:11" x14ac:dyDescent="0.25">
      <c r="B8">
        <v>1</v>
      </c>
      <c r="C8" s="1" t="s">
        <v>5</v>
      </c>
      <c r="D8" s="3" t="s">
        <v>6</v>
      </c>
      <c r="E8" s="1" t="s">
        <v>8</v>
      </c>
      <c r="F8" s="2">
        <v>15088</v>
      </c>
      <c r="G8" s="2">
        <f>+F8*0.8</f>
        <v>12070.400000000001</v>
      </c>
      <c r="H8" s="2">
        <f>(+G8/0.8)*0.1</f>
        <v>1508.8000000000002</v>
      </c>
      <c r="I8" s="2">
        <v>0</v>
      </c>
      <c r="J8" s="2">
        <f>+F8*0.1</f>
        <v>1508.8000000000002</v>
      </c>
      <c r="K8" s="9"/>
    </row>
    <row r="9" spans="2:11" ht="60" x14ac:dyDescent="0.25">
      <c r="B9">
        <v>2</v>
      </c>
      <c r="C9" s="1" t="s">
        <v>9</v>
      </c>
      <c r="D9" s="3" t="s">
        <v>10</v>
      </c>
      <c r="E9" s="1" t="s">
        <v>8</v>
      </c>
      <c r="F9" s="2">
        <v>21186</v>
      </c>
      <c r="G9" s="2">
        <v>8000</v>
      </c>
      <c r="H9" s="2">
        <f>(+G9/0.8)*0.1</f>
        <v>1000</v>
      </c>
      <c r="I9" s="2">
        <v>12186</v>
      </c>
      <c r="J9" s="2">
        <v>0</v>
      </c>
      <c r="K9" s="9"/>
    </row>
    <row r="10" spans="2:11" ht="60" x14ac:dyDescent="0.25">
      <c r="B10">
        <v>3</v>
      </c>
      <c r="C10" s="3" t="s">
        <v>18</v>
      </c>
      <c r="D10" s="3" t="s">
        <v>19</v>
      </c>
      <c r="E10" s="1" t="s">
        <v>8</v>
      </c>
      <c r="F10" s="2">
        <v>13198</v>
      </c>
      <c r="G10" s="2">
        <f>+F10*0.8</f>
        <v>10558.400000000001</v>
      </c>
      <c r="H10" s="2">
        <f>(+G10/0.8)*0.1</f>
        <v>1319.8000000000002</v>
      </c>
      <c r="I10" s="2">
        <v>0</v>
      </c>
      <c r="J10" s="2">
        <f>+H10</f>
        <v>1319.8000000000002</v>
      </c>
      <c r="K10" s="9"/>
    </row>
    <row r="11" spans="2:11" ht="30" x14ac:dyDescent="0.25">
      <c r="B11">
        <v>4</v>
      </c>
      <c r="C11" s="3" t="s">
        <v>22</v>
      </c>
      <c r="D11" s="3" t="s">
        <v>7</v>
      </c>
      <c r="E11" s="1" t="s">
        <v>12</v>
      </c>
      <c r="F11" s="2">
        <v>12000</v>
      </c>
      <c r="G11" s="2">
        <v>6000</v>
      </c>
      <c r="H11" s="2">
        <v>0</v>
      </c>
      <c r="I11" s="2">
        <v>0</v>
      </c>
      <c r="J11" s="2">
        <f>+F11*0.5</f>
        <v>6000</v>
      </c>
      <c r="K11" s="9"/>
    </row>
    <row r="12" spans="2:11" ht="45" x14ac:dyDescent="0.25">
      <c r="B12">
        <v>5</v>
      </c>
      <c r="C12" s="1" t="s">
        <v>21</v>
      </c>
      <c r="D12" s="3" t="s">
        <v>25</v>
      </c>
      <c r="E12" s="1" t="s">
        <v>12</v>
      </c>
      <c r="F12" s="2">
        <v>10700</v>
      </c>
      <c r="G12" s="2">
        <f>+F12*0.5</f>
        <v>5350</v>
      </c>
      <c r="H12" s="2">
        <v>0</v>
      </c>
      <c r="I12" s="2">
        <v>0</v>
      </c>
      <c r="J12" s="2">
        <f>+G12</f>
        <v>5350</v>
      </c>
      <c r="K12" s="9"/>
    </row>
    <row r="13" spans="2:11" ht="30" x14ac:dyDescent="0.25">
      <c r="B13">
        <v>6</v>
      </c>
      <c r="C13" s="1" t="s">
        <v>23</v>
      </c>
      <c r="D13" s="3" t="s">
        <v>24</v>
      </c>
      <c r="E13" s="1" t="s">
        <v>12</v>
      </c>
      <c r="F13" s="2">
        <v>15000</v>
      </c>
      <c r="G13" s="2">
        <v>7500</v>
      </c>
      <c r="H13" s="2">
        <v>0</v>
      </c>
      <c r="I13" s="2">
        <v>0</v>
      </c>
      <c r="J13" s="2">
        <v>7500</v>
      </c>
      <c r="K13" s="9"/>
    </row>
    <row r="14" spans="2:11" ht="30" x14ac:dyDescent="0.25">
      <c r="B14">
        <v>7</v>
      </c>
      <c r="C14" s="1" t="s">
        <v>11</v>
      </c>
      <c r="D14" s="3" t="s">
        <v>20</v>
      </c>
      <c r="E14" s="1" t="s">
        <v>12</v>
      </c>
      <c r="F14" s="2">
        <v>1628443</v>
      </c>
      <c r="G14" s="2">
        <v>25000</v>
      </c>
      <c r="H14" s="2">
        <v>0</v>
      </c>
      <c r="I14" s="14">
        <v>484100</v>
      </c>
      <c r="J14" s="2">
        <f>+F14-(G14+I14)</f>
        <v>1119343</v>
      </c>
      <c r="K14" s="9"/>
    </row>
    <row r="15" spans="2:11" ht="30" x14ac:dyDescent="0.25">
      <c r="B15">
        <v>9</v>
      </c>
      <c r="C15" s="1" t="s">
        <v>13</v>
      </c>
      <c r="D15" s="3" t="s">
        <v>14</v>
      </c>
      <c r="E15" s="1" t="s">
        <v>12</v>
      </c>
      <c r="F15" s="2">
        <v>64123</v>
      </c>
      <c r="G15" s="2">
        <v>32023</v>
      </c>
      <c r="H15" s="2">
        <v>0</v>
      </c>
      <c r="I15" s="2">
        <v>0</v>
      </c>
      <c r="J15" s="2">
        <f>+G15</f>
        <v>32023</v>
      </c>
      <c r="K15" s="9"/>
    </row>
    <row r="16" spans="2:11" x14ac:dyDescent="0.25">
      <c r="E16" s="5" t="s">
        <v>15</v>
      </c>
      <c r="F16" s="6">
        <f>SUM(F8:F15)</f>
        <v>1779738</v>
      </c>
      <c r="G16" s="6">
        <f>SUM(G8:G15)</f>
        <v>106501.8</v>
      </c>
      <c r="H16" s="6">
        <f>SUM(H8:H15)</f>
        <v>3828.6000000000004</v>
      </c>
      <c r="I16" s="2">
        <f>SUM(I8:I15)</f>
        <v>496286</v>
      </c>
      <c r="J16" s="6">
        <f>SUM(J8:J15)</f>
        <v>1173044.6000000001</v>
      </c>
      <c r="K16" s="9"/>
    </row>
    <row r="18" spans="5:11" x14ac:dyDescent="0.25">
      <c r="E18" s="1" t="s">
        <v>32</v>
      </c>
      <c r="F18" s="1" t="s">
        <v>29</v>
      </c>
      <c r="G18" s="8">
        <v>90000</v>
      </c>
      <c r="H18" s="7"/>
      <c r="I18" s="7"/>
      <c r="J18" s="7"/>
      <c r="K18" s="13"/>
    </row>
    <row r="19" spans="5:11" x14ac:dyDescent="0.25">
      <c r="E19" s="5" t="s">
        <v>31</v>
      </c>
      <c r="F19" s="1" t="s">
        <v>30</v>
      </c>
      <c r="G19" s="2">
        <v>7500</v>
      </c>
    </row>
    <row r="20" spans="5:11" x14ac:dyDescent="0.25">
      <c r="E20" s="5" t="s">
        <v>27</v>
      </c>
      <c r="F20" s="1"/>
      <c r="G20" s="6">
        <f>+G19+G18</f>
        <v>97500</v>
      </c>
    </row>
    <row r="22" spans="5:11" x14ac:dyDescent="0.25">
      <c r="F22" t="s">
        <v>28</v>
      </c>
      <c r="G22" s="4">
        <f>+G20-G16</f>
        <v>-9001.8000000000029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"/>
  <sheetViews>
    <sheetView workbookViewId="0">
      <selection activeCell="I6" sqref="I6"/>
    </sheetView>
  </sheetViews>
  <sheetFormatPr defaultRowHeight="15" x14ac:dyDescent="0.25"/>
  <cols>
    <col min="2" max="2" width="29.140625" bestFit="1" customWidth="1"/>
    <col min="3" max="3" width="23.7109375" customWidth="1"/>
    <col min="4" max="4" width="20.7109375" customWidth="1"/>
    <col min="6" max="6" width="11" customWidth="1"/>
    <col min="7" max="7" width="11.42578125" customWidth="1"/>
  </cols>
  <sheetData>
    <row r="2" spans="2:7" x14ac:dyDescent="0.25">
      <c r="E2" t="s">
        <v>43</v>
      </c>
      <c r="F2" t="s">
        <v>26</v>
      </c>
      <c r="G2" t="s">
        <v>44</v>
      </c>
    </row>
    <row r="3" spans="2:7" x14ac:dyDescent="0.25">
      <c r="B3" s="1" t="s">
        <v>5</v>
      </c>
      <c r="C3" s="3" t="s">
        <v>6</v>
      </c>
      <c r="D3" s="1" t="s">
        <v>8</v>
      </c>
      <c r="E3" s="14">
        <v>13668</v>
      </c>
      <c r="F3" s="6">
        <v>1709</v>
      </c>
      <c r="G3" s="6">
        <f>+F3+E3</f>
        <v>15377</v>
      </c>
    </row>
    <row r="4" spans="2:7" ht="30" x14ac:dyDescent="0.25">
      <c r="B4" s="1" t="s">
        <v>13</v>
      </c>
      <c r="C4" s="3" t="s">
        <v>14</v>
      </c>
      <c r="D4" s="1" t="s">
        <v>12</v>
      </c>
      <c r="E4" s="14">
        <v>30500</v>
      </c>
      <c r="F4" s="6">
        <v>0</v>
      </c>
      <c r="G4" s="6">
        <f t="shared" ref="G4:G8" si="0">+F4+E4</f>
        <v>30500</v>
      </c>
    </row>
    <row r="5" spans="2:7" ht="45" x14ac:dyDescent="0.25">
      <c r="B5" s="1" t="s">
        <v>40</v>
      </c>
      <c r="C5" s="3" t="s">
        <v>25</v>
      </c>
      <c r="D5" s="1" t="s">
        <v>12</v>
      </c>
      <c r="E5" s="14">
        <v>5200</v>
      </c>
      <c r="F5" s="6">
        <v>0</v>
      </c>
      <c r="G5" s="6">
        <f t="shared" si="0"/>
        <v>5200</v>
      </c>
    </row>
    <row r="6" spans="2:7" ht="60" x14ac:dyDescent="0.25">
      <c r="B6" s="1" t="s">
        <v>23</v>
      </c>
      <c r="C6" s="3" t="s">
        <v>41</v>
      </c>
      <c r="D6" s="1" t="s">
        <v>12</v>
      </c>
      <c r="E6" s="14">
        <v>4400</v>
      </c>
      <c r="F6" s="6">
        <v>0</v>
      </c>
      <c r="G6" s="6">
        <f t="shared" si="0"/>
        <v>4400</v>
      </c>
    </row>
    <row r="7" spans="2:7" ht="30" x14ac:dyDescent="0.25">
      <c r="B7" s="1" t="s">
        <v>11</v>
      </c>
      <c r="C7" s="3" t="s">
        <v>20</v>
      </c>
      <c r="D7" s="1" t="s">
        <v>12</v>
      </c>
      <c r="E7" s="14">
        <v>25000</v>
      </c>
      <c r="F7" s="6">
        <v>0</v>
      </c>
      <c r="G7" s="6">
        <f t="shared" si="0"/>
        <v>25000</v>
      </c>
    </row>
    <row r="8" spans="2:7" ht="75" x14ac:dyDescent="0.25">
      <c r="B8" s="5" t="s">
        <v>9</v>
      </c>
      <c r="C8" s="19" t="s">
        <v>10</v>
      </c>
      <c r="D8" s="5" t="s">
        <v>8</v>
      </c>
      <c r="E8" s="14">
        <v>8000</v>
      </c>
      <c r="F8" s="6">
        <v>1000</v>
      </c>
      <c r="G8" s="6">
        <f t="shared" si="0"/>
        <v>9000</v>
      </c>
    </row>
    <row r="9" spans="2:7" x14ac:dyDescent="0.25">
      <c r="D9" s="18" t="s">
        <v>15</v>
      </c>
      <c r="E9" s="8">
        <f>SUM(E3:E8)</f>
        <v>86768</v>
      </c>
      <c r="F9" s="6">
        <f>SUM(F3:F8)</f>
        <v>2709</v>
      </c>
      <c r="G9" s="6">
        <f>+F9+E9</f>
        <v>89477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New York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Mengel, Dwight (DFA3-A50)</dc:creator>
  <cp:lastModifiedBy>Mengel, Dwight (DFA3-A50)</cp:lastModifiedBy>
  <cp:lastPrinted>2016-11-15T16:00:06Z</cp:lastPrinted>
  <dcterms:created xsi:type="dcterms:W3CDTF">2013-10-02T20:42:47Z</dcterms:created>
  <dcterms:modified xsi:type="dcterms:W3CDTF">2017-11-13T17:35:26Z</dcterms:modified>
</cp:coreProperties>
</file>